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DATA PERENCANAAN TAHUN 2024\"/>
    </mc:Choice>
  </mc:AlternateContent>
  <bookViews>
    <workbookView xWindow="-120" yWindow="-120" windowWidth="29040" windowHeight="15720" firstSheet="8" activeTab="9"/>
  </bookViews>
  <sheets>
    <sheet name="Sheet1" sheetId="1" r:id="rId1"/>
    <sheet name="APBDesa Perub Reguler" sheetId="9" r:id="rId2"/>
    <sheet name="Perub Penj APBDesa " sheetId="10" r:id="rId3"/>
    <sheet name="APBDesa Perub PAGU n SiLPA Fix " sheetId="8" r:id="rId4"/>
    <sheet name="UNTUK APBDesa Perubahan PAGU" sheetId="7" r:id="rId5"/>
    <sheet name="UNTUK APBDesa Induk Pagu Defini" sheetId="6" r:id="rId6"/>
    <sheet name="UNTUK APBDesa" sheetId="5" r:id="rId7"/>
    <sheet name="APBDESA 2024 PERUB" sheetId="19" r:id="rId8"/>
    <sheet name="RINCIAN PBH" sheetId="20" r:id="rId9"/>
    <sheet name="APBDESA 2024 PERUB PENJ" sheetId="15" r:id="rId10"/>
    <sheet name="UNTUK APBDESA 2024" sheetId="13" r:id="rId11"/>
    <sheet name="UNTUK RKP PRINT" sheetId="11" r:id="rId12"/>
    <sheet name="UNTUK RKP" sheetId="2" r:id="rId13"/>
    <sheet name="PAGU" sheetId="3" r:id="rId14"/>
    <sheet name="BIDANG KES 2024" sheetId="12" r:id="rId15"/>
    <sheet name="RINCIAN PRIORITAS DD 2024 PRB2" sheetId="18" r:id="rId16"/>
    <sheet name="RINCIAN PRIORITAS DD 2024 PRBH" sheetId="16" r:id="rId17"/>
    <sheet name="LAP RINCIAN DD 2024 YANG DITENT" sheetId="17" r:id="rId18"/>
    <sheet name="RINCIAN PRIORITAS DD 2024" sheetId="14" r:id="rId19"/>
  </sheets>
  <externalReferences>
    <externalReference r:id="rId20"/>
  </externalReferences>
  <definedNames>
    <definedName name="_xlnm.Print_Area" localSheetId="7">'APBDESA 2024 PERUB'!$A$1:$F$476</definedName>
    <definedName name="_xlnm.Print_Area" localSheetId="9">'APBDESA 2024 PERUB PENJ'!$A$1:$F$476</definedName>
    <definedName name="_xlnm.Print_Area" localSheetId="8">'RINCIAN PBH'!$A$1:$F$478</definedName>
    <definedName name="_xlnm.Print_Area" localSheetId="18">'RINCIAN PRIORITAS DD 2024'!$A$1:$F$27</definedName>
    <definedName name="_xlnm.Print_Area" localSheetId="15">'RINCIAN PRIORITAS DD 2024 PRB2'!$A$1:$F$27</definedName>
    <definedName name="_xlnm.Print_Area" localSheetId="16">'RINCIAN PRIORITAS DD 2024 PRBH'!$A$1:$F$27</definedName>
    <definedName name="_xlnm.Print_Area" localSheetId="10">'UNTUK APBDESA 2024'!$A$1:$F$472</definedName>
    <definedName name="_xlnm.Print_Area" localSheetId="12">'UNTUK RKP'!$A$1:$F$466</definedName>
    <definedName name="_xlnm.Print_Area" localSheetId="11">'UNTUK RKP PRINT'!$A$1:$F$466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8" l="1"/>
  <c r="E10" i="18"/>
  <c r="H377" i="15" l="1"/>
  <c r="H366" i="15"/>
  <c r="H376" i="15" s="1"/>
  <c r="I377" i="15"/>
  <c r="H101" i="15" l="1"/>
  <c r="H100" i="15"/>
  <c r="H99" i="15"/>
  <c r="N92" i="20" l="1"/>
  <c r="K92" i="20"/>
  <c r="I92" i="20"/>
  <c r="H49" i="15" l="1"/>
  <c r="H48" i="15"/>
  <c r="H47" i="15"/>
  <c r="H92" i="20"/>
  <c r="E465" i="20"/>
  <c r="E464" i="20" s="1"/>
  <c r="M92" i="20"/>
  <c r="M93" i="20" s="1"/>
  <c r="O91" i="20"/>
  <c r="J92" i="20"/>
  <c r="E362" i="20"/>
  <c r="E358" i="20" s="1"/>
  <c r="E357" i="20" s="1"/>
  <c r="L92" i="20"/>
  <c r="L93" i="20" s="1"/>
  <c r="E439" i="20"/>
  <c r="E438" i="20" s="1"/>
  <c r="J93" i="20"/>
  <c r="E407" i="20"/>
  <c r="I93" i="20"/>
  <c r="H93" i="20"/>
  <c r="E84" i="20"/>
  <c r="K93" i="20"/>
  <c r="L91" i="20"/>
  <c r="H474" i="20"/>
  <c r="E473" i="20"/>
  <c r="H472" i="20"/>
  <c r="H471" i="20"/>
  <c r="E471" i="20"/>
  <c r="I470" i="20"/>
  <c r="J470" i="20" s="1"/>
  <c r="H470" i="20"/>
  <c r="E470" i="20"/>
  <c r="H469" i="20"/>
  <c r="I469" i="20" s="1"/>
  <c r="E468" i="20"/>
  <c r="E461" i="20"/>
  <c r="E458" i="20"/>
  <c r="E454" i="20"/>
  <c r="E453" i="20" s="1"/>
  <c r="E451" i="20"/>
  <c r="E449" i="20"/>
  <c r="E447" i="20"/>
  <c r="E444" i="20"/>
  <c r="E442" i="20"/>
  <c r="E433" i="20"/>
  <c r="E429" i="20"/>
  <c r="E427" i="20"/>
  <c r="E423" i="20"/>
  <c r="G422" i="20"/>
  <c r="E421" i="20"/>
  <c r="E418" i="20"/>
  <c r="E415" i="20" s="1"/>
  <c r="E411" i="20"/>
  <c r="E403" i="20"/>
  <c r="E401" i="20"/>
  <c r="E394" i="20"/>
  <c r="E393" i="20" s="1"/>
  <c r="E382" i="20"/>
  <c r="E379" i="20"/>
  <c r="I377" i="20"/>
  <c r="H377" i="20"/>
  <c r="E377" i="20"/>
  <c r="E376" i="20" s="1"/>
  <c r="E372" i="20"/>
  <c r="I365" i="20"/>
  <c r="H365" i="20"/>
  <c r="E359" i="20"/>
  <c r="E352" i="20"/>
  <c r="E348" i="20" s="1"/>
  <c r="E345" i="20"/>
  <c r="E343" i="20" s="1"/>
  <c r="E340" i="20"/>
  <c r="G337" i="20"/>
  <c r="G336" i="20"/>
  <c r="E330" i="20"/>
  <c r="E326" i="20"/>
  <c r="E323" i="20"/>
  <c r="E322" i="20" s="1"/>
  <c r="E318" i="20"/>
  <c r="I314" i="20"/>
  <c r="G314" i="20"/>
  <c r="H314" i="20" s="1"/>
  <c r="E313" i="20"/>
  <c r="E311" i="20"/>
  <c r="G309" i="20"/>
  <c r="E308" i="20"/>
  <c r="E305" i="20"/>
  <c r="H303" i="20"/>
  <c r="H304" i="20" s="1"/>
  <c r="E303" i="20"/>
  <c r="E296" i="20"/>
  <c r="E294" i="20"/>
  <c r="E292" i="20"/>
  <c r="E289" i="20"/>
  <c r="E287" i="20"/>
  <c r="E283" i="20"/>
  <c r="I282" i="20"/>
  <c r="I291" i="20" s="1"/>
  <c r="I281" i="20"/>
  <c r="G281" i="20"/>
  <c r="E280" i="20"/>
  <c r="H281" i="20" s="1"/>
  <c r="H278" i="20"/>
  <c r="H277" i="20"/>
  <c r="E276" i="20"/>
  <c r="I272" i="20"/>
  <c r="I273" i="20" s="1"/>
  <c r="H272" i="20"/>
  <c r="E269" i="20"/>
  <c r="E265" i="20"/>
  <c r="E262" i="20"/>
  <c r="E256" i="20"/>
  <c r="H255" i="20"/>
  <c r="E254" i="20"/>
  <c r="I253" i="20"/>
  <c r="I254" i="20" s="1"/>
  <c r="H253" i="20"/>
  <c r="E252" i="20"/>
  <c r="E249" i="20"/>
  <c r="E221" i="20"/>
  <c r="H220" i="20"/>
  <c r="H218" i="20"/>
  <c r="E217" i="20"/>
  <c r="H216" i="20"/>
  <c r="H214" i="20"/>
  <c r="H212" i="20"/>
  <c r="H211" i="20"/>
  <c r="E210" i="20"/>
  <c r="H209" i="20"/>
  <c r="E206" i="20"/>
  <c r="H204" i="20"/>
  <c r="E203" i="20"/>
  <c r="E196" i="20"/>
  <c r="H195" i="20"/>
  <c r="H194" i="20"/>
  <c r="H190" i="20"/>
  <c r="I190" i="20" s="1"/>
  <c r="E189" i="20"/>
  <c r="E186" i="20"/>
  <c r="E172" i="20"/>
  <c r="E170" i="20"/>
  <c r="G163" i="20"/>
  <c r="E162" i="20"/>
  <c r="E158" i="20"/>
  <c r="H157" i="20"/>
  <c r="H156" i="20"/>
  <c r="H160" i="20" s="1"/>
  <c r="E152" i="20"/>
  <c r="E149" i="20"/>
  <c r="E148" i="20"/>
  <c r="E145" i="20"/>
  <c r="G142" i="20"/>
  <c r="E141" i="20"/>
  <c r="E138" i="20"/>
  <c r="J6" i="20" s="1"/>
  <c r="G133" i="20"/>
  <c r="E132" i="20"/>
  <c r="E125" i="20"/>
  <c r="E122" i="20"/>
  <c r="E119" i="20"/>
  <c r="E118" i="20" s="1"/>
  <c r="E110" i="20"/>
  <c r="E108" i="20"/>
  <c r="E98" i="20" s="1"/>
  <c r="E103" i="20"/>
  <c r="E99" i="20"/>
  <c r="H96" i="20"/>
  <c r="E94" i="20"/>
  <c r="E91" i="20"/>
  <c r="E85" i="20"/>
  <c r="E81" i="20"/>
  <c r="E75" i="20"/>
  <c r="H76" i="20"/>
  <c r="G75" i="20"/>
  <c r="E72" i="20"/>
  <c r="E68" i="20"/>
  <c r="E65" i="20"/>
  <c r="E62" i="20"/>
  <c r="H61" i="20"/>
  <c r="J59" i="20"/>
  <c r="I58" i="20"/>
  <c r="I57" i="20"/>
  <c r="I56" i="20"/>
  <c r="I59" i="20" s="1"/>
  <c r="G56" i="20"/>
  <c r="E56" i="20"/>
  <c r="I55" i="20"/>
  <c r="I54" i="20"/>
  <c r="H53" i="20"/>
  <c r="E53" i="20"/>
  <c r="G49" i="20"/>
  <c r="J47" i="20"/>
  <c r="H47" i="20"/>
  <c r="H48" i="20" s="1"/>
  <c r="J46" i="20"/>
  <c r="J48" i="20" s="1"/>
  <c r="H44" i="20"/>
  <c r="H38" i="20"/>
  <c r="G38" i="20"/>
  <c r="H37" i="20"/>
  <c r="G37" i="20"/>
  <c r="H36" i="20"/>
  <c r="H34" i="20"/>
  <c r="G34" i="20"/>
  <c r="E33" i="20"/>
  <c r="N32" i="20"/>
  <c r="I30" i="20"/>
  <c r="E19" i="20"/>
  <c r="H24" i="20"/>
  <c r="K19" i="20"/>
  <c r="J19" i="20"/>
  <c r="I20" i="20" s="1"/>
  <c r="I17" i="20"/>
  <c r="E11" i="20"/>
  <c r="H2" i="20" s="1"/>
  <c r="L11" i="20"/>
  <c r="L10" i="20"/>
  <c r="K10" i="20"/>
  <c r="F8" i="20"/>
  <c r="P6" i="20"/>
  <c r="P8" i="20" s="1"/>
  <c r="L6" i="20"/>
  <c r="L8" i="20" s="1"/>
  <c r="K6" i="20"/>
  <c r="K8" i="20" s="1"/>
  <c r="E6" i="20"/>
  <c r="Q5" i="20"/>
  <c r="Q4" i="20"/>
  <c r="O92" i="20" l="1"/>
  <c r="O93" i="20" s="1"/>
  <c r="E477" i="20"/>
  <c r="N93" i="20"/>
  <c r="E446" i="20"/>
  <c r="E457" i="20"/>
  <c r="E414" i="20" s="1"/>
  <c r="E405" i="20"/>
  <c r="E356" i="20" s="1"/>
  <c r="N6" i="20"/>
  <c r="N8" i="20" s="1"/>
  <c r="N22" i="20" s="1"/>
  <c r="E220" i="20"/>
  <c r="H280" i="20"/>
  <c r="I6" i="20"/>
  <c r="I8" i="20" s="1"/>
  <c r="O6" i="20"/>
  <c r="O8" i="20" s="1"/>
  <c r="E420" i="20"/>
  <c r="E291" i="20"/>
  <c r="E261" i="20"/>
  <c r="E61" i="20"/>
  <c r="M6" i="20" s="1"/>
  <c r="M8" i="20" s="1"/>
  <c r="E5" i="20"/>
  <c r="I12" i="20" s="1"/>
  <c r="J8" i="20"/>
  <c r="K11" i="20"/>
  <c r="L21" i="20"/>
  <c r="L22" i="20"/>
  <c r="H25" i="20"/>
  <c r="N21" i="20"/>
  <c r="K22" i="20"/>
  <c r="K21" i="20"/>
  <c r="H62" i="20"/>
  <c r="E80" i="20"/>
  <c r="G85" i="20"/>
  <c r="G165" i="20"/>
  <c r="E161" i="20"/>
  <c r="E205" i="20"/>
  <c r="J17" i="20"/>
  <c r="G164" i="20"/>
  <c r="E334" i="20"/>
  <c r="E329" i="20" s="1"/>
  <c r="H366" i="20"/>
  <c r="H376" i="20" s="1"/>
  <c r="I380" i="20"/>
  <c r="I366" i="20"/>
  <c r="I376" i="20" s="1"/>
  <c r="I378" i="20" s="1"/>
  <c r="E4" i="20" l="1"/>
  <c r="I22" i="20"/>
  <c r="I21" i="20"/>
  <c r="E160" i="20"/>
  <c r="M22" i="20"/>
  <c r="M21" i="20"/>
  <c r="Q6" i="20"/>
  <c r="J21" i="20"/>
  <c r="J22" i="20"/>
  <c r="E478" i="20" l="1"/>
  <c r="L29" i="20"/>
  <c r="I10" i="20"/>
  <c r="Q7" i="20"/>
  <c r="I11" i="20" l="1"/>
  <c r="I13" i="20" s="1"/>
  <c r="J12" i="20"/>
  <c r="L11" i="19" l="1"/>
  <c r="K11" i="19"/>
  <c r="H472" i="19"/>
  <c r="E471" i="19"/>
  <c r="H470" i="19"/>
  <c r="H469" i="19"/>
  <c r="E469" i="19"/>
  <c r="E468" i="19" s="1"/>
  <c r="I468" i="19"/>
  <c r="J468" i="19" s="1"/>
  <c r="H468" i="19"/>
  <c r="H467" i="19"/>
  <c r="I467" i="19" s="1"/>
  <c r="E466" i="19"/>
  <c r="E464" i="19"/>
  <c r="E463" i="19" s="1"/>
  <c r="E460" i="19"/>
  <c r="E457" i="19"/>
  <c r="E456" i="19"/>
  <c r="E453" i="19"/>
  <c r="E452" i="19"/>
  <c r="E450" i="19"/>
  <c r="E448" i="19"/>
  <c r="E445" i="19" s="1"/>
  <c r="E446" i="19"/>
  <c r="E443" i="19"/>
  <c r="E441" i="19"/>
  <c r="E437" i="19" s="1"/>
  <c r="E438" i="19"/>
  <c r="E432" i="19"/>
  <c r="E428" i="19"/>
  <c r="E426" i="19"/>
  <c r="E422" i="19"/>
  <c r="G421" i="19"/>
  <c r="E420" i="19"/>
  <c r="E419" i="19" s="1"/>
  <c r="E417" i="19"/>
  <c r="E414" i="19"/>
  <c r="E410" i="19"/>
  <c r="E407" i="19"/>
  <c r="E405" i="19"/>
  <c r="E403" i="19"/>
  <c r="E393" i="19" s="1"/>
  <c r="E401" i="19"/>
  <c r="E394" i="19"/>
  <c r="E382" i="19"/>
  <c r="K6" i="19" s="1"/>
  <c r="K8" i="19" s="1"/>
  <c r="E379" i="19"/>
  <c r="I377" i="19"/>
  <c r="H377" i="19"/>
  <c r="E377" i="19"/>
  <c r="E376" i="19" s="1"/>
  <c r="E372" i="19"/>
  <c r="I366" i="19"/>
  <c r="I376" i="19" s="1"/>
  <c r="I378" i="19" s="1"/>
  <c r="H366" i="19"/>
  <c r="H376" i="19" s="1"/>
  <c r="I365" i="19"/>
  <c r="I380" i="19" s="1"/>
  <c r="H365" i="19"/>
  <c r="E362" i="19"/>
  <c r="E359" i="19"/>
  <c r="E358" i="19" s="1"/>
  <c r="E357" i="19" s="1"/>
  <c r="E352" i="19"/>
  <c r="E348" i="19" s="1"/>
  <c r="E345" i="19"/>
  <c r="E343" i="19"/>
  <c r="E340" i="19"/>
  <c r="E337" i="19"/>
  <c r="G337" i="19" s="1"/>
  <c r="G336" i="19"/>
  <c r="E334" i="19"/>
  <c r="E329" i="19" s="1"/>
  <c r="E330" i="19"/>
  <c r="E326" i="19"/>
  <c r="E323" i="19"/>
  <c r="N6" i="19" s="1"/>
  <c r="N8" i="19" s="1"/>
  <c r="E318" i="19"/>
  <c r="I314" i="19"/>
  <c r="H314" i="19"/>
  <c r="G314" i="19"/>
  <c r="E313" i="19"/>
  <c r="E311" i="19"/>
  <c r="G309" i="19"/>
  <c r="E308" i="19"/>
  <c r="E305" i="19"/>
  <c r="H303" i="19"/>
  <c r="H304" i="19" s="1"/>
  <c r="E303" i="19"/>
  <c r="E300" i="19"/>
  <c r="E299" i="19"/>
  <c r="E298" i="19"/>
  <c r="E296" i="19" s="1"/>
  <c r="E297" i="19"/>
  <c r="E294" i="19"/>
  <c r="E292" i="19"/>
  <c r="E289" i="19"/>
  <c r="E287" i="19"/>
  <c r="E283" i="19"/>
  <c r="I282" i="19"/>
  <c r="I291" i="19" s="1"/>
  <c r="I281" i="19"/>
  <c r="H281" i="19"/>
  <c r="G281" i="19"/>
  <c r="E280" i="19"/>
  <c r="H280" i="19" s="1"/>
  <c r="H278" i="19"/>
  <c r="H277" i="19"/>
  <c r="E276" i="19"/>
  <c r="I272" i="19"/>
  <c r="I273" i="19" s="1"/>
  <c r="H272" i="19"/>
  <c r="E269" i="19"/>
  <c r="E265" i="19"/>
  <c r="E262" i="19"/>
  <c r="E261" i="19" s="1"/>
  <c r="E256" i="19"/>
  <c r="H255" i="19"/>
  <c r="E254" i="19"/>
  <c r="E253" i="19"/>
  <c r="H253" i="19" s="1"/>
  <c r="I253" i="19" s="1"/>
  <c r="I254" i="19" s="1"/>
  <c r="E249" i="19"/>
  <c r="E221" i="19"/>
  <c r="E220" i="19" s="1"/>
  <c r="H220" i="19"/>
  <c r="H218" i="19"/>
  <c r="E217" i="19"/>
  <c r="H216" i="19"/>
  <c r="E216" i="19"/>
  <c r="H214" i="19"/>
  <c r="H212" i="19"/>
  <c r="H211" i="19"/>
  <c r="E210" i="19"/>
  <c r="E209" i="19"/>
  <c r="H209" i="19" s="1"/>
  <c r="E206" i="19"/>
  <c r="H204" i="19"/>
  <c r="E203" i="19"/>
  <c r="E196" i="19"/>
  <c r="H195" i="19"/>
  <c r="H194" i="19"/>
  <c r="H190" i="19"/>
  <c r="I190" i="19" s="1"/>
  <c r="E189" i="19"/>
  <c r="E186" i="19"/>
  <c r="E179" i="19"/>
  <c r="E175" i="19"/>
  <c r="E172" i="19"/>
  <c r="E170" i="19"/>
  <c r="G164" i="19"/>
  <c r="E164" i="19"/>
  <c r="E163" i="19"/>
  <c r="G163" i="19" s="1"/>
  <c r="E162" i="19"/>
  <c r="G165" i="19" s="1"/>
  <c r="E158" i="19"/>
  <c r="H157" i="19"/>
  <c r="H156" i="19"/>
  <c r="H160" i="19" s="1"/>
  <c r="E152" i="19"/>
  <c r="E149" i="19"/>
  <c r="E148" i="19" s="1"/>
  <c r="E145" i="19"/>
  <c r="E142" i="19"/>
  <c r="G142" i="19" s="1"/>
  <c r="E138" i="19"/>
  <c r="G133" i="19"/>
  <c r="E132" i="19"/>
  <c r="E125" i="19"/>
  <c r="E122" i="19"/>
  <c r="E119" i="19"/>
  <c r="E110" i="19"/>
  <c r="E108" i="19"/>
  <c r="E103" i="19"/>
  <c r="E99" i="19"/>
  <c r="E98" i="19" s="1"/>
  <c r="H96" i="19"/>
  <c r="E94" i="19"/>
  <c r="E91" i="19"/>
  <c r="E84" i="19" s="1"/>
  <c r="G85" i="19" s="1"/>
  <c r="E85" i="19"/>
  <c r="E81" i="19"/>
  <c r="E79" i="19"/>
  <c r="H76" i="19"/>
  <c r="G75" i="19"/>
  <c r="E75" i="19"/>
  <c r="E72" i="19"/>
  <c r="E68" i="19"/>
  <c r="E65" i="19"/>
  <c r="E61" i="19" s="1"/>
  <c r="E62" i="19"/>
  <c r="H61" i="19"/>
  <c r="J59" i="19"/>
  <c r="I57" i="19"/>
  <c r="I58" i="19" s="1"/>
  <c r="G56" i="19"/>
  <c r="E56" i="19"/>
  <c r="I55" i="19"/>
  <c r="I56" i="19" s="1"/>
  <c r="I54" i="19"/>
  <c r="I59" i="19" s="1"/>
  <c r="H53" i="19"/>
  <c r="E53" i="19"/>
  <c r="G49" i="19"/>
  <c r="J47" i="19"/>
  <c r="H47" i="19"/>
  <c r="H48" i="19" s="1"/>
  <c r="J46" i="19"/>
  <c r="J48" i="19" s="1"/>
  <c r="H44" i="19"/>
  <c r="H38" i="19"/>
  <c r="G38" i="19"/>
  <c r="H37" i="19"/>
  <c r="G37" i="19"/>
  <c r="H36" i="19"/>
  <c r="H34" i="19"/>
  <c r="G34" i="19"/>
  <c r="E33" i="19"/>
  <c r="N32" i="19"/>
  <c r="E32" i="19"/>
  <c r="E31" i="19"/>
  <c r="I30" i="19"/>
  <c r="E30" i="19"/>
  <c r="E29" i="19"/>
  <c r="E28" i="19"/>
  <c r="E27" i="19"/>
  <c r="E26" i="19"/>
  <c r="E25" i="19"/>
  <c r="E24" i="19"/>
  <c r="E23" i="19"/>
  <c r="E22" i="19"/>
  <c r="E19" i="19" s="1"/>
  <c r="E21" i="19"/>
  <c r="H24" i="19" s="1"/>
  <c r="I20" i="19"/>
  <c r="K19" i="19"/>
  <c r="J19" i="19"/>
  <c r="J17" i="19"/>
  <c r="I17" i="19"/>
  <c r="E17" i="19"/>
  <c r="E15" i="19"/>
  <c r="E13" i="19"/>
  <c r="E12" i="19"/>
  <c r="E11" i="19"/>
  <c r="H2" i="19" s="1"/>
  <c r="L10" i="19"/>
  <c r="K10" i="19"/>
  <c r="P8" i="19"/>
  <c r="L8" i="19"/>
  <c r="L22" i="19" s="1"/>
  <c r="F8" i="19"/>
  <c r="E8" i="19"/>
  <c r="E7" i="19"/>
  <c r="E6" i="19" s="1"/>
  <c r="P6" i="19"/>
  <c r="O6" i="19"/>
  <c r="O8" i="19" s="1"/>
  <c r="L6" i="19"/>
  <c r="Q5" i="19"/>
  <c r="Q4" i="19"/>
  <c r="E57" i="3"/>
  <c r="C57" i="3"/>
  <c r="I365" i="15"/>
  <c r="I366" i="15" l="1"/>
  <c r="I376" i="15" s="1"/>
  <c r="I378" i="15" s="1"/>
  <c r="I380" i="15"/>
  <c r="H25" i="19"/>
  <c r="H62" i="19"/>
  <c r="K21" i="19"/>
  <c r="K22" i="19"/>
  <c r="E356" i="19"/>
  <c r="E291" i="19"/>
  <c r="E5" i="19"/>
  <c r="E413" i="19"/>
  <c r="E80" i="19"/>
  <c r="N22" i="19"/>
  <c r="N21" i="19"/>
  <c r="E141" i="19"/>
  <c r="E118" i="19" s="1"/>
  <c r="E161" i="19"/>
  <c r="E252" i="19"/>
  <c r="M6" i="19" s="1"/>
  <c r="M8" i="19" s="1"/>
  <c r="E322" i="19"/>
  <c r="J6" i="19"/>
  <c r="L21" i="19"/>
  <c r="E22" i="18"/>
  <c r="E18" i="18" s="1"/>
  <c r="F18" i="18" s="1"/>
  <c r="E20" i="18"/>
  <c r="E19" i="18"/>
  <c r="E17" i="18"/>
  <c r="E16" i="18"/>
  <c r="E14" i="18" s="1"/>
  <c r="F14" i="18" s="1"/>
  <c r="E15" i="18"/>
  <c r="E13" i="18"/>
  <c r="E12" i="18"/>
  <c r="E11" i="18"/>
  <c r="D22" i="18"/>
  <c r="D21" i="18"/>
  <c r="D20" i="18"/>
  <c r="D19" i="18"/>
  <c r="D17" i="18"/>
  <c r="D16" i="18"/>
  <c r="D15" i="18"/>
  <c r="D13" i="18"/>
  <c r="D12" i="18"/>
  <c r="D11" i="18"/>
  <c r="D10" i="18"/>
  <c r="E8" i="18"/>
  <c r="E7" i="18" s="1"/>
  <c r="E5" i="18"/>
  <c r="M21" i="19" l="1"/>
  <c r="M22" i="19"/>
  <c r="J8" i="19"/>
  <c r="E205" i="19"/>
  <c r="E4" i="19"/>
  <c r="E475" i="19" s="1"/>
  <c r="E476" i="19" s="1"/>
  <c r="I12" i="19"/>
  <c r="E160" i="19"/>
  <c r="I6" i="19"/>
  <c r="E9" i="18"/>
  <c r="F7" i="18"/>
  <c r="K10" i="15"/>
  <c r="F24" i="18" l="1"/>
  <c r="E24" i="18"/>
  <c r="J22" i="19"/>
  <c r="J21" i="19"/>
  <c r="I8" i="19"/>
  <c r="Q6" i="19"/>
  <c r="E362" i="15"/>
  <c r="H365" i="15"/>
  <c r="G421" i="15"/>
  <c r="I21" i="19" l="1"/>
  <c r="I22" i="19"/>
  <c r="L29" i="19" s="1"/>
  <c r="I10" i="19"/>
  <c r="Q7" i="19"/>
  <c r="H25" i="13"/>
  <c r="H24" i="13"/>
  <c r="G13" i="13"/>
  <c r="G12" i="13"/>
  <c r="G9" i="13"/>
  <c r="K10" i="13"/>
  <c r="I11" i="19" l="1"/>
  <c r="I13" i="19" s="1"/>
  <c r="J12" i="19"/>
  <c r="E22" i="16"/>
  <c r="E18" i="16" s="1"/>
  <c r="D21" i="16"/>
  <c r="E75" i="15"/>
  <c r="E72" i="15"/>
  <c r="E79" i="15"/>
  <c r="E11" i="16" l="1"/>
  <c r="E8" i="16"/>
  <c r="I468" i="15"/>
  <c r="J468" i="15"/>
  <c r="E269" i="15"/>
  <c r="H470" i="15"/>
  <c r="I467" i="15"/>
  <c r="H467" i="15"/>
  <c r="H469" i="15"/>
  <c r="H278" i="15" l="1"/>
  <c r="E5" i="16" l="1"/>
  <c r="D22" i="16"/>
  <c r="E20" i="16"/>
  <c r="D20" i="16"/>
  <c r="D19" i="16"/>
  <c r="E17" i="16"/>
  <c r="D17" i="16"/>
  <c r="E16" i="16"/>
  <c r="D16" i="16"/>
  <c r="E15" i="16"/>
  <c r="E14" i="16" s="1"/>
  <c r="D15" i="16"/>
  <c r="E13" i="16"/>
  <c r="D13" i="16"/>
  <c r="E12" i="16"/>
  <c r="D12" i="16"/>
  <c r="E9" i="16"/>
  <c r="D11" i="16"/>
  <c r="E10" i="16"/>
  <c r="D10" i="16"/>
  <c r="E7" i="16"/>
  <c r="H61" i="15"/>
  <c r="F18" i="16" l="1"/>
  <c r="F14" i="16"/>
  <c r="F9" i="16"/>
  <c r="F7" i="16"/>
  <c r="E24" i="16"/>
  <c r="K19" i="15"/>
  <c r="J17" i="15" s="1"/>
  <c r="J19" i="15"/>
  <c r="F24" i="16" l="1"/>
  <c r="I55" i="3"/>
  <c r="H55" i="3"/>
  <c r="G55" i="3"/>
  <c r="F55" i="3"/>
  <c r="E55" i="3"/>
  <c r="D55" i="3"/>
  <c r="C55" i="3"/>
  <c r="C54" i="3" s="1"/>
  <c r="B55" i="3"/>
  <c r="I54" i="3"/>
  <c r="H54" i="3"/>
  <c r="G54" i="3"/>
  <c r="F54" i="3"/>
  <c r="E54" i="3"/>
  <c r="D54" i="3"/>
  <c r="B54" i="3"/>
  <c r="K53" i="3"/>
  <c r="J53" i="3"/>
  <c r="J55" i="3" s="1"/>
  <c r="J54" i="3" s="1"/>
  <c r="K52" i="3"/>
  <c r="J52" i="3"/>
  <c r="H472" i="15"/>
  <c r="E471" i="15"/>
  <c r="E469" i="15"/>
  <c r="E468" i="15" s="1"/>
  <c r="H468" i="15"/>
  <c r="E466" i="15"/>
  <c r="E464" i="15"/>
  <c r="E460" i="15"/>
  <c r="E457" i="15"/>
  <c r="E456" i="15"/>
  <c r="E453" i="15"/>
  <c r="E452" i="15"/>
  <c r="E450" i="15"/>
  <c r="E448" i="15"/>
  <c r="E445" i="15" s="1"/>
  <c r="E446" i="15"/>
  <c r="E443" i="15"/>
  <c r="E441" i="15"/>
  <c r="E437" i="15" s="1"/>
  <c r="E438" i="15"/>
  <c r="E432" i="15"/>
  <c r="E428" i="15"/>
  <c r="E426" i="15"/>
  <c r="E422" i="15"/>
  <c r="E420" i="15"/>
  <c r="E419" i="15" s="1"/>
  <c r="E417" i="15"/>
  <c r="E414" i="15"/>
  <c r="E410" i="15"/>
  <c r="E407" i="15"/>
  <c r="E405" i="15"/>
  <c r="E403" i="15"/>
  <c r="E393" i="15" s="1"/>
  <c r="E401" i="15"/>
  <c r="E394" i="15"/>
  <c r="E382" i="15"/>
  <c r="E376" i="15" s="1"/>
  <c r="E379" i="15"/>
  <c r="E377" i="15"/>
  <c r="E372" i="15"/>
  <c r="E358" i="15"/>
  <c r="E359" i="15"/>
  <c r="E352" i="15"/>
  <c r="E348" i="15"/>
  <c r="E345" i="15"/>
  <c r="E343" i="15"/>
  <c r="E340" i="15"/>
  <c r="G337" i="15"/>
  <c r="E337" i="15"/>
  <c r="G336" i="15"/>
  <c r="E334" i="15"/>
  <c r="E330" i="15"/>
  <c r="E329" i="15" s="1"/>
  <c r="E326" i="15"/>
  <c r="E323" i="15"/>
  <c r="E322" i="15"/>
  <c r="E318" i="15"/>
  <c r="I314" i="15"/>
  <c r="G314" i="15"/>
  <c r="H314" i="15" s="1"/>
  <c r="E313" i="15"/>
  <c r="E311" i="15"/>
  <c r="G309" i="15"/>
  <c r="E308" i="15"/>
  <c r="E305" i="15"/>
  <c r="H303" i="15"/>
  <c r="H304" i="15" s="1"/>
  <c r="E303" i="15"/>
  <c r="E300" i="15"/>
  <c r="E299" i="15"/>
  <c r="E298" i="15"/>
  <c r="E297" i="15"/>
  <c r="E296" i="15" s="1"/>
  <c r="E294" i="15"/>
  <c r="E292" i="15"/>
  <c r="E291" i="15" s="1"/>
  <c r="E289" i="15"/>
  <c r="E287" i="15"/>
  <c r="E283" i="15"/>
  <c r="I282" i="15"/>
  <c r="I291" i="15" s="1"/>
  <c r="I281" i="15"/>
  <c r="G281" i="15"/>
  <c r="E280" i="15"/>
  <c r="H277" i="15"/>
  <c r="E276" i="15"/>
  <c r="I272" i="15"/>
  <c r="I273" i="15" s="1"/>
  <c r="H272" i="15"/>
  <c r="E261" i="15"/>
  <c r="E265" i="15"/>
  <c r="E262" i="15"/>
  <c r="E256" i="15"/>
  <c r="H255" i="15"/>
  <c r="E254" i="15"/>
  <c r="E253" i="15"/>
  <c r="H253" i="15" s="1"/>
  <c r="I253" i="15" s="1"/>
  <c r="I254" i="15" s="1"/>
  <c r="E252" i="15"/>
  <c r="E249" i="15"/>
  <c r="E220" i="15" s="1"/>
  <c r="E221" i="15"/>
  <c r="H220" i="15"/>
  <c r="H218" i="15"/>
  <c r="E217" i="15"/>
  <c r="E216" i="15"/>
  <c r="H216" i="15" s="1"/>
  <c r="H214" i="15"/>
  <c r="H212" i="15"/>
  <c r="H211" i="15"/>
  <c r="E210" i="15"/>
  <c r="H209" i="15"/>
  <c r="E209" i="15"/>
  <c r="E206" i="15"/>
  <c r="H204" i="15"/>
  <c r="E203" i="15"/>
  <c r="E196" i="15"/>
  <c r="H195" i="15"/>
  <c r="H194" i="15"/>
  <c r="H190" i="15"/>
  <c r="I190" i="15" s="1"/>
  <c r="E189" i="15"/>
  <c r="E186" i="15"/>
  <c r="E179" i="15"/>
  <c r="E175" i="15"/>
  <c r="E172" i="15"/>
  <c r="J6" i="15" s="1"/>
  <c r="E170" i="15"/>
  <c r="E164" i="15"/>
  <c r="N6" i="15" s="1"/>
  <c r="N8" i="15" s="1"/>
  <c r="N22" i="15" s="1"/>
  <c r="G163" i="15"/>
  <c r="E163" i="15"/>
  <c r="E158" i="15"/>
  <c r="H157" i="15"/>
  <c r="H156" i="15"/>
  <c r="H160" i="15" s="1"/>
  <c r="E152" i="15"/>
  <c r="E149" i="15"/>
  <c r="E148" i="15"/>
  <c r="E145" i="15"/>
  <c r="E142" i="15"/>
  <c r="G142" i="15" s="1"/>
  <c r="E141" i="15"/>
  <c r="E138" i="15"/>
  <c r="G133" i="15"/>
  <c r="E132" i="15"/>
  <c r="E125" i="15"/>
  <c r="E122" i="15"/>
  <c r="E119" i="15"/>
  <c r="E110" i="15"/>
  <c r="E108" i="15"/>
  <c r="E103" i="15"/>
  <c r="E99" i="15"/>
  <c r="H96" i="15"/>
  <c r="E94" i="15"/>
  <c r="E91" i="15"/>
  <c r="E85" i="15"/>
  <c r="E84" i="15" s="1"/>
  <c r="E81" i="15"/>
  <c r="H76" i="15"/>
  <c r="G75" i="15"/>
  <c r="O6" i="15"/>
  <c r="O8" i="15" s="1"/>
  <c r="E68" i="15"/>
  <c r="E65" i="15"/>
  <c r="E62" i="15"/>
  <c r="E61" i="15" s="1"/>
  <c r="J59" i="15"/>
  <c r="I58" i="15"/>
  <c r="I59" i="15" s="1"/>
  <c r="I57" i="15"/>
  <c r="I56" i="15"/>
  <c r="G56" i="15"/>
  <c r="E56" i="15"/>
  <c r="I55" i="15"/>
  <c r="I54" i="15"/>
  <c r="H53" i="15"/>
  <c r="E53" i="15"/>
  <c r="G49" i="15"/>
  <c r="J47" i="15"/>
  <c r="J46" i="15"/>
  <c r="J48" i="15" s="1"/>
  <c r="H44" i="15"/>
  <c r="H38" i="15"/>
  <c r="G38" i="15"/>
  <c r="H37" i="15"/>
  <c r="G37" i="15"/>
  <c r="H36" i="15"/>
  <c r="H34" i="15"/>
  <c r="G34" i="15"/>
  <c r="E33" i="15"/>
  <c r="N32" i="15"/>
  <c r="E32" i="15"/>
  <c r="E31" i="15"/>
  <c r="I30" i="15"/>
  <c r="E30" i="15"/>
  <c r="E29" i="15"/>
  <c r="E28" i="15"/>
  <c r="E27" i="15"/>
  <c r="E26" i="15"/>
  <c r="E25" i="15"/>
  <c r="E24" i="15"/>
  <c r="E23" i="15"/>
  <c r="E22" i="15"/>
  <c r="E21" i="15"/>
  <c r="E19" i="15" s="1"/>
  <c r="I20" i="15"/>
  <c r="I17" i="15"/>
  <c r="E17" i="15"/>
  <c r="E15" i="15"/>
  <c r="E13" i="15"/>
  <c r="E11" i="15" s="1"/>
  <c r="H2" i="15" s="1"/>
  <c r="E12" i="15"/>
  <c r="L11" i="15"/>
  <c r="L10" i="15"/>
  <c r="E8" i="15"/>
  <c r="F8" i="15" s="1"/>
  <c r="E7" i="15"/>
  <c r="P6" i="15"/>
  <c r="P8" i="15" s="1"/>
  <c r="L6" i="15"/>
  <c r="L8" i="15" s="1"/>
  <c r="E6" i="15"/>
  <c r="Q5" i="15"/>
  <c r="Q4" i="15"/>
  <c r="K6" i="15" l="1"/>
  <c r="K8" i="15" s="1"/>
  <c r="K21" i="15" s="1"/>
  <c r="E357" i="15"/>
  <c r="E356" i="15" s="1"/>
  <c r="E205" i="15"/>
  <c r="E118" i="15"/>
  <c r="H280" i="15"/>
  <c r="H281" i="15"/>
  <c r="K55" i="3"/>
  <c r="K54" i="3" s="1"/>
  <c r="E5" i="15"/>
  <c r="I12" i="15" s="1"/>
  <c r="E463" i="15"/>
  <c r="L22" i="15"/>
  <c r="L21" i="15"/>
  <c r="H62" i="15"/>
  <c r="E80" i="15"/>
  <c r="G85" i="15"/>
  <c r="J8" i="15"/>
  <c r="N21" i="15"/>
  <c r="E413" i="15"/>
  <c r="H24" i="15"/>
  <c r="H25" i="15" s="1"/>
  <c r="I6" i="15"/>
  <c r="E98" i="15"/>
  <c r="E162" i="15"/>
  <c r="G164" i="15"/>
  <c r="G82" i="13"/>
  <c r="H38" i="13"/>
  <c r="N6" i="13"/>
  <c r="J6" i="13"/>
  <c r="E33" i="13"/>
  <c r="K11" i="15" l="1"/>
  <c r="K22" i="15"/>
  <c r="I8" i="15"/>
  <c r="J21" i="15"/>
  <c r="J22" i="15"/>
  <c r="E161" i="15"/>
  <c r="E160" i="15" s="1"/>
  <c r="G165" i="15"/>
  <c r="M6" i="15"/>
  <c r="M8" i="15" s="1"/>
  <c r="E4" i="15"/>
  <c r="J48" i="13"/>
  <c r="J47" i="13"/>
  <c r="J46" i="13"/>
  <c r="E475" i="15" l="1"/>
  <c r="E476" i="15" s="1"/>
  <c r="M21" i="15"/>
  <c r="M22" i="15"/>
  <c r="Q6" i="15"/>
  <c r="I21" i="15"/>
  <c r="I22" i="15"/>
  <c r="L29" i="15" s="1"/>
  <c r="H278" i="13"/>
  <c r="H277" i="13"/>
  <c r="E5" i="14"/>
  <c r="E8" i="14"/>
  <c r="E7" i="14" s="1"/>
  <c r="F7" i="14" s="1"/>
  <c r="E17" i="14"/>
  <c r="D17" i="14"/>
  <c r="E16" i="14"/>
  <c r="D16" i="14"/>
  <c r="E15" i="14"/>
  <c r="D15" i="14"/>
  <c r="D22" i="14"/>
  <c r="E21" i="14"/>
  <c r="D21" i="14"/>
  <c r="E20" i="14"/>
  <c r="D20" i="14"/>
  <c r="D19" i="14"/>
  <c r="E13" i="14"/>
  <c r="D13" i="14"/>
  <c r="E12" i="14"/>
  <c r="D12" i="14"/>
  <c r="E10" i="14"/>
  <c r="E11" i="14"/>
  <c r="D11" i="14"/>
  <c r="D10" i="14"/>
  <c r="I10" i="15" l="1"/>
  <c r="Q7" i="15"/>
  <c r="E18" i="14"/>
  <c r="F18" i="14" s="1"/>
  <c r="E9" i="14"/>
  <c r="F9" i="14" s="1"/>
  <c r="E14" i="14"/>
  <c r="F14" i="14" s="1"/>
  <c r="H62" i="13"/>
  <c r="H61" i="13"/>
  <c r="I11" i="15" l="1"/>
  <c r="I13" i="15" s="1"/>
  <c r="J12" i="15"/>
  <c r="E24" i="14"/>
  <c r="F24" i="14"/>
  <c r="J17" i="13"/>
  <c r="H464" i="13"/>
  <c r="H468" i="13"/>
  <c r="E296" i="13" l="1"/>
  <c r="I288" i="13"/>
  <c r="I279" i="13"/>
  <c r="I270" i="13"/>
  <c r="I269" i="13"/>
  <c r="H252" i="13" l="1"/>
  <c r="H217" i="13"/>
  <c r="G161" i="13"/>
  <c r="G160" i="13"/>
  <c r="H75" i="13" l="1"/>
  <c r="J59" i="13"/>
  <c r="G56" i="13"/>
  <c r="G37" i="13" l="1"/>
  <c r="G34" i="13"/>
  <c r="H34" i="13"/>
  <c r="H36" i="13"/>
  <c r="I20" i="13" l="1"/>
  <c r="E266" i="13"/>
  <c r="H48" i="13" l="1"/>
  <c r="H47" i="13"/>
  <c r="H215" i="13" l="1"/>
  <c r="H211" i="13"/>
  <c r="H208" i="13"/>
  <c r="E207" i="13"/>
  <c r="G162" i="13"/>
  <c r="G74" i="13"/>
  <c r="H53" i="13"/>
  <c r="H93" i="13"/>
  <c r="I311" i="13"/>
  <c r="G278" i="13"/>
  <c r="H274" i="13"/>
  <c r="H269" i="13"/>
  <c r="H209" i="13"/>
  <c r="I6" i="13"/>
  <c r="H191" i="13"/>
  <c r="H192" i="13"/>
  <c r="H37" i="13"/>
  <c r="H201" i="13"/>
  <c r="L6" i="13"/>
  <c r="I278" i="13"/>
  <c r="G306" i="13"/>
  <c r="N32" i="13"/>
  <c r="H250" i="13"/>
  <c r="G311" i="13" l="1"/>
  <c r="H311" i="13" s="1"/>
  <c r="H362" i="13"/>
  <c r="G38" i="13"/>
  <c r="H44" i="13"/>
  <c r="H2" i="13" l="1"/>
  <c r="G49" i="13"/>
  <c r="I30" i="13"/>
  <c r="L11" i="13"/>
  <c r="L10" i="13"/>
  <c r="H465" i="13" l="1"/>
  <c r="E15" i="13" l="1"/>
  <c r="E12" i="13"/>
  <c r="E8" i="13"/>
  <c r="E467" i="13" l="1"/>
  <c r="H466" i="13"/>
  <c r="E465" i="13"/>
  <c r="E464" i="13" s="1"/>
  <c r="E462" i="13"/>
  <c r="E460" i="13"/>
  <c r="E456" i="13"/>
  <c r="E453" i="13"/>
  <c r="E452" i="13" s="1"/>
  <c r="E449" i="13"/>
  <c r="E448" i="13"/>
  <c r="E446" i="13"/>
  <c r="E441" i="13" s="1"/>
  <c r="E444" i="13"/>
  <c r="E442" i="13"/>
  <c r="E439" i="13"/>
  <c r="E433" i="13" s="1"/>
  <c r="E437" i="13"/>
  <c r="E434" i="13"/>
  <c r="E428" i="13"/>
  <c r="E424" i="13"/>
  <c r="E422" i="13"/>
  <c r="E418" i="13"/>
  <c r="E415" i="13" s="1"/>
  <c r="G417" i="13"/>
  <c r="E416" i="13"/>
  <c r="E413" i="13"/>
  <c r="E410" i="13"/>
  <c r="E406" i="13"/>
  <c r="E403" i="13"/>
  <c r="E401" i="13"/>
  <c r="E399" i="13"/>
  <c r="E397" i="13"/>
  <c r="E389" i="13" s="1"/>
  <c r="E390" i="13"/>
  <c r="E378" i="13"/>
  <c r="E375" i="13"/>
  <c r="E373" i="13"/>
  <c r="E372" i="13"/>
  <c r="E368" i="13"/>
  <c r="E359" i="13"/>
  <c r="E356" i="13"/>
  <c r="E355" i="13" s="1"/>
  <c r="E354" i="13" s="1"/>
  <c r="E349" i="13"/>
  <c r="E345" i="13" s="1"/>
  <c r="E342" i="13"/>
  <c r="E340" i="13"/>
  <c r="E337" i="13"/>
  <c r="E334" i="13"/>
  <c r="G334" i="13" s="1"/>
  <c r="G333" i="13"/>
  <c r="E331" i="13"/>
  <c r="E326" i="13" s="1"/>
  <c r="E327" i="13"/>
  <c r="E323" i="13"/>
  <c r="E320" i="13"/>
  <c r="E315" i="13"/>
  <c r="E310" i="13"/>
  <c r="E308" i="13"/>
  <c r="E305" i="13"/>
  <c r="E302" i="13"/>
  <c r="H301" i="13"/>
  <c r="H300" i="13"/>
  <c r="E300" i="13"/>
  <c r="E297" i="13"/>
  <c r="E293" i="13"/>
  <c r="E295" i="13"/>
  <c r="E294" i="13"/>
  <c r="E291" i="13"/>
  <c r="E289" i="13"/>
  <c r="E286" i="13"/>
  <c r="E284" i="13"/>
  <c r="E280" i="13"/>
  <c r="E277" i="13"/>
  <c r="E273" i="13"/>
  <c r="E262" i="13"/>
  <c r="E259" i="13"/>
  <c r="E253" i="13"/>
  <c r="E251" i="13"/>
  <c r="I250" i="13"/>
  <c r="I251" i="13" s="1"/>
  <c r="E250" i="13"/>
  <c r="E249" i="13"/>
  <c r="E246" i="13"/>
  <c r="E218" i="13"/>
  <c r="E217" i="13" s="1"/>
  <c r="E214" i="13"/>
  <c r="K6" i="13" s="1"/>
  <c r="E213" i="13"/>
  <c r="E206" i="13"/>
  <c r="E203" i="13" s="1"/>
  <c r="E200" i="13"/>
  <c r="E193" i="13"/>
  <c r="I187" i="13"/>
  <c r="H187" i="13"/>
  <c r="E186" i="13"/>
  <c r="E183" i="13"/>
  <c r="E176" i="13"/>
  <c r="E172" i="13"/>
  <c r="E169" i="13"/>
  <c r="E167" i="13"/>
  <c r="E161" i="13"/>
  <c r="E160" i="13"/>
  <c r="E159" i="13"/>
  <c r="E155" i="13"/>
  <c r="H154" i="13"/>
  <c r="H153" i="13"/>
  <c r="H157" i="13" s="1"/>
  <c r="E149" i="13"/>
  <c r="E146" i="13"/>
  <c r="E145" i="13" s="1"/>
  <c r="E142" i="13"/>
  <c r="E139" i="13"/>
  <c r="E138" i="13" s="1"/>
  <c r="E115" i="13" s="1"/>
  <c r="E135" i="13"/>
  <c r="G130" i="13"/>
  <c r="E129" i="13"/>
  <c r="E122" i="13"/>
  <c r="E119" i="13"/>
  <c r="E116" i="13"/>
  <c r="E107" i="13"/>
  <c r="E105" i="13"/>
  <c r="E100" i="13"/>
  <c r="E96" i="13"/>
  <c r="E95" i="13" s="1"/>
  <c r="E91" i="13"/>
  <c r="E88" i="13"/>
  <c r="E82" i="13"/>
  <c r="E81" i="13" s="1"/>
  <c r="E78" i="13"/>
  <c r="E74" i="13"/>
  <c r="E72" i="13"/>
  <c r="E68" i="13"/>
  <c r="E65" i="13"/>
  <c r="E62" i="13"/>
  <c r="I58" i="13"/>
  <c r="I57" i="13"/>
  <c r="E56" i="13"/>
  <c r="I55" i="13"/>
  <c r="I56" i="13" s="1"/>
  <c r="I54" i="13"/>
  <c r="E5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I17" i="13"/>
  <c r="E17" i="13"/>
  <c r="E13" i="13"/>
  <c r="E11" i="13"/>
  <c r="E7" i="13"/>
  <c r="P6" i="13"/>
  <c r="P8" i="13" s="1"/>
  <c r="O6" i="13"/>
  <c r="O8" i="13" s="1"/>
  <c r="L8" i="13"/>
  <c r="Q4" i="13"/>
  <c r="K44" i="3"/>
  <c r="J44" i="3"/>
  <c r="H47" i="3"/>
  <c r="H46" i="3" s="1"/>
  <c r="G47" i="3"/>
  <c r="G46" i="3" s="1"/>
  <c r="C47" i="3"/>
  <c r="C46" i="3" s="1"/>
  <c r="K45" i="3"/>
  <c r="J45" i="3"/>
  <c r="I47" i="3"/>
  <c r="I46" i="3" s="1"/>
  <c r="F47" i="3"/>
  <c r="F46" i="3" s="1"/>
  <c r="E47" i="3"/>
  <c r="E46" i="3" s="1"/>
  <c r="D47" i="3"/>
  <c r="D46" i="3" s="1"/>
  <c r="B47" i="3"/>
  <c r="B46" i="3" s="1"/>
  <c r="E77" i="13" l="1"/>
  <c r="E61" i="13"/>
  <c r="E258" i="13"/>
  <c r="M6" i="13"/>
  <c r="M8" i="13" s="1"/>
  <c r="E319" i="13"/>
  <c r="N8" i="13"/>
  <c r="N22" i="13" s="1"/>
  <c r="E353" i="13"/>
  <c r="E459" i="13"/>
  <c r="E202" i="13"/>
  <c r="E158" i="13"/>
  <c r="E19" i="13"/>
  <c r="E409" i="13"/>
  <c r="L21" i="13"/>
  <c r="L22" i="13"/>
  <c r="K11" i="13"/>
  <c r="J8" i="13"/>
  <c r="E288" i="13"/>
  <c r="K8" i="13"/>
  <c r="I59" i="13"/>
  <c r="H213" i="13"/>
  <c r="Q5" i="13"/>
  <c r="G139" i="13"/>
  <c r="H206" i="13"/>
  <c r="J47" i="3"/>
  <c r="J46" i="3" s="1"/>
  <c r="K47" i="3"/>
  <c r="K46" i="3" s="1"/>
  <c r="Q4" i="2"/>
  <c r="Q5" i="2"/>
  <c r="N21" i="13" l="1"/>
  <c r="E157" i="13"/>
  <c r="M21" i="13"/>
  <c r="M22" i="13"/>
  <c r="K21" i="13"/>
  <c r="K22" i="13"/>
  <c r="J22" i="13"/>
  <c r="J21" i="13"/>
  <c r="E5" i="2"/>
  <c r="E267" i="2" l="1"/>
  <c r="E50" i="12" l="1"/>
  <c r="E68" i="12"/>
  <c r="E66" i="12"/>
  <c r="E64" i="12"/>
  <c r="E61" i="12"/>
  <c r="E59" i="12"/>
  <c r="E56" i="12"/>
  <c r="E55" i="12"/>
  <c r="E54" i="12"/>
  <c r="E53" i="12"/>
  <c r="E52" i="12" s="1"/>
  <c r="E48" i="12"/>
  <c r="E47" i="12"/>
  <c r="E46" i="12" s="1"/>
  <c r="E43" i="12"/>
  <c r="E14" i="12" s="1"/>
  <c r="E15" i="12"/>
  <c r="E11" i="12"/>
  <c r="E10" i="12"/>
  <c r="E4" i="12"/>
  <c r="E3" i="12"/>
  <c r="E2" i="12"/>
  <c r="F24" i="3" l="1"/>
  <c r="C24" i="3"/>
  <c r="F23" i="3"/>
  <c r="C23" i="3"/>
  <c r="D38" i="3" l="1"/>
  <c r="I22" i="11" l="1"/>
  <c r="L21" i="11"/>
  <c r="I21" i="11"/>
  <c r="J21" i="11"/>
  <c r="K10" i="11"/>
  <c r="E461" i="11"/>
  <c r="H460" i="11"/>
  <c r="E459" i="11"/>
  <c r="E458" i="11" s="1"/>
  <c r="E453" i="11" s="1"/>
  <c r="H458" i="11"/>
  <c r="E456" i="11"/>
  <c r="E454" i="11"/>
  <c r="E450" i="11"/>
  <c r="E447" i="11"/>
  <c r="E446" i="11"/>
  <c r="E443" i="11"/>
  <c r="E442" i="11" s="1"/>
  <c r="E440" i="11"/>
  <c r="E438" i="11"/>
  <c r="E436" i="11"/>
  <c r="E435" i="11" s="1"/>
  <c r="E433" i="11"/>
  <c r="E431" i="11"/>
  <c r="E428" i="11"/>
  <c r="E427" i="11" s="1"/>
  <c r="E422" i="11"/>
  <c r="E418" i="11"/>
  <c r="E416" i="11"/>
  <c r="E412" i="11"/>
  <c r="G411" i="11"/>
  <c r="E410" i="11"/>
  <c r="E409" i="11"/>
  <c r="E407" i="11"/>
  <c r="E404" i="11"/>
  <c r="E400" i="11"/>
  <c r="E395" i="11" s="1"/>
  <c r="E397" i="11"/>
  <c r="E393" i="11"/>
  <c r="E391" i="11"/>
  <c r="E383" i="11" s="1"/>
  <c r="E384" i="11"/>
  <c r="E372" i="11"/>
  <c r="E369" i="11"/>
  <c r="E366" i="11" s="1"/>
  <c r="E367" i="11"/>
  <c r="E362" i="11"/>
  <c r="H356" i="11"/>
  <c r="E353" i="11"/>
  <c r="E350" i="11"/>
  <c r="E349" i="11"/>
  <c r="E348" i="11"/>
  <c r="E343" i="11"/>
  <c r="E339" i="11"/>
  <c r="E336" i="11"/>
  <c r="E334" i="11" s="1"/>
  <c r="E331" i="11"/>
  <c r="E328" i="11"/>
  <c r="E325" i="11" s="1"/>
  <c r="E320" i="11" s="1"/>
  <c r="G327" i="11"/>
  <c r="E321" i="11"/>
  <c r="E317" i="11"/>
  <c r="E314" i="11"/>
  <c r="E313" i="11"/>
  <c r="E309" i="11"/>
  <c r="E304" i="11"/>
  <c r="E302" i="11"/>
  <c r="G300" i="11"/>
  <c r="E299" i="11"/>
  <c r="E296" i="11"/>
  <c r="H294" i="11"/>
  <c r="H295" i="11" s="1"/>
  <c r="E294" i="11"/>
  <c r="E291" i="11"/>
  <c r="E290" i="11"/>
  <c r="E289" i="11"/>
  <c r="E288" i="11"/>
  <c r="E287" i="11" s="1"/>
  <c r="E282" i="11" s="1"/>
  <c r="E285" i="11"/>
  <c r="E283" i="11"/>
  <c r="E280" i="11"/>
  <c r="E278" i="11"/>
  <c r="E274" i="11"/>
  <c r="E271" i="11"/>
  <c r="E267" i="11"/>
  <c r="E261" i="11"/>
  <c r="E257" i="11"/>
  <c r="E254" i="11"/>
  <c r="E253" i="11" s="1"/>
  <c r="E248" i="11"/>
  <c r="E246" i="11"/>
  <c r="E245" i="11"/>
  <c r="H245" i="11" s="1"/>
  <c r="I245" i="11" s="1"/>
  <c r="I246" i="11" s="1"/>
  <c r="E244" i="11"/>
  <c r="E241" i="11"/>
  <c r="E213" i="11"/>
  <c r="E212" i="11"/>
  <c r="E209" i="11"/>
  <c r="E208" i="11"/>
  <c r="H208" i="11" s="1"/>
  <c r="H204" i="11"/>
  <c r="E202" i="11"/>
  <c r="E197" i="11" s="1"/>
  <c r="E201" i="11"/>
  <c r="H201" i="11" s="1"/>
  <c r="E198" i="11"/>
  <c r="H196" i="11"/>
  <c r="E195" i="11"/>
  <c r="E189" i="11"/>
  <c r="H188" i="11"/>
  <c r="H187" i="11"/>
  <c r="H183" i="11"/>
  <c r="I183" i="11" s="1"/>
  <c r="E182" i="11"/>
  <c r="E179" i="11"/>
  <c r="E172" i="11"/>
  <c r="E168" i="11"/>
  <c r="E165" i="11"/>
  <c r="E163" i="11"/>
  <c r="E157" i="11"/>
  <c r="G157" i="11" s="1"/>
  <c r="G156" i="11"/>
  <c r="E156" i="11"/>
  <c r="H153" i="11"/>
  <c r="E151" i="11"/>
  <c r="H150" i="11"/>
  <c r="H149" i="11"/>
  <c r="E145" i="11"/>
  <c r="E142" i="11"/>
  <c r="E141" i="11"/>
  <c r="E138" i="11"/>
  <c r="E135" i="11"/>
  <c r="G135" i="11" s="1"/>
  <c r="E134" i="11"/>
  <c r="E131" i="11"/>
  <c r="G126" i="11"/>
  <c r="E125" i="11"/>
  <c r="E118" i="11"/>
  <c r="E115" i="11"/>
  <c r="E111" i="11" s="1"/>
  <c r="E112" i="11"/>
  <c r="E103" i="11"/>
  <c r="E101" i="11"/>
  <c r="E91" i="11" s="1"/>
  <c r="E96" i="11"/>
  <c r="E92" i="11"/>
  <c r="E88" i="11"/>
  <c r="P6" i="11" s="1"/>
  <c r="E85" i="11"/>
  <c r="E79" i="11"/>
  <c r="E78" i="11"/>
  <c r="E75" i="11"/>
  <c r="E74" i="11" s="1"/>
  <c r="E71" i="11"/>
  <c r="E69" i="11"/>
  <c r="E65" i="11"/>
  <c r="E58" i="11" s="1"/>
  <c r="E62" i="11"/>
  <c r="E59" i="11"/>
  <c r="I54" i="11"/>
  <c r="I55" i="11" s="1"/>
  <c r="I53" i="11"/>
  <c r="E53" i="11"/>
  <c r="I52" i="11"/>
  <c r="I51" i="11"/>
  <c r="I56" i="11" s="1"/>
  <c r="E50" i="11"/>
  <c r="H44" i="11"/>
  <c r="G37" i="11"/>
  <c r="G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19" i="11" s="1"/>
  <c r="I20" i="11"/>
  <c r="E17" i="11"/>
  <c r="E15" i="11"/>
  <c r="I17" i="11" s="1"/>
  <c r="E13" i="11"/>
  <c r="E12" i="11"/>
  <c r="E11" i="11"/>
  <c r="L8" i="11"/>
  <c r="L22" i="11" s="1"/>
  <c r="F8" i="11"/>
  <c r="E8" i="11"/>
  <c r="E7" i="11"/>
  <c r="E6" i="11" s="1"/>
  <c r="O6" i="11"/>
  <c r="N6" i="11"/>
  <c r="N8" i="11" s="1"/>
  <c r="L6" i="11"/>
  <c r="J6" i="11"/>
  <c r="P5" i="11"/>
  <c r="O5" i="11"/>
  <c r="O8" i="11" s="1"/>
  <c r="M5" i="11"/>
  <c r="H459" i="11" s="1"/>
  <c r="K5" i="11"/>
  <c r="J5" i="11"/>
  <c r="I5" i="11"/>
  <c r="H58" i="11" l="1"/>
  <c r="E347" i="11"/>
  <c r="E403" i="11"/>
  <c r="E5" i="11"/>
  <c r="N21" i="11"/>
  <c r="N22" i="11"/>
  <c r="P8" i="11"/>
  <c r="K8" i="11"/>
  <c r="K6" i="11"/>
  <c r="K11" i="11" s="1"/>
  <c r="G328" i="11"/>
  <c r="I6" i="11"/>
  <c r="Q4" i="11"/>
  <c r="Q5" i="11"/>
  <c r="J8" i="11"/>
  <c r="E155" i="11"/>
  <c r="E154" i="11" s="1"/>
  <c r="E153" i="11" s="1"/>
  <c r="E339" i="2"/>
  <c r="E334" i="2"/>
  <c r="E320" i="2"/>
  <c r="E313" i="2"/>
  <c r="E197" i="2"/>
  <c r="E154" i="2"/>
  <c r="E403" i="2"/>
  <c r="E453" i="2"/>
  <c r="I12" i="2"/>
  <c r="E11" i="2"/>
  <c r="E6" i="2"/>
  <c r="G411" i="2"/>
  <c r="G328" i="2"/>
  <c r="E328" i="2"/>
  <c r="G126" i="2"/>
  <c r="G34" i="2"/>
  <c r="G37" i="2"/>
  <c r="E135" i="2"/>
  <c r="G135" i="2" s="1"/>
  <c r="L6" i="2"/>
  <c r="B41" i="3"/>
  <c r="H188" i="2"/>
  <c r="H187" i="2"/>
  <c r="H183" i="2"/>
  <c r="H149" i="2"/>
  <c r="H196" i="2"/>
  <c r="H356" i="2"/>
  <c r="E336" i="2"/>
  <c r="E157" i="2"/>
  <c r="E156" i="2"/>
  <c r="I8" i="11" l="1"/>
  <c r="K22" i="11"/>
  <c r="K21" i="11"/>
  <c r="J22" i="11"/>
  <c r="I12" i="11"/>
  <c r="E4" i="11"/>
  <c r="E465" i="11" s="1"/>
  <c r="E466" i="11" s="1"/>
  <c r="M6" i="11"/>
  <c r="M8" i="11" l="1"/>
  <c r="Q6" i="11"/>
  <c r="M22" i="11" l="1"/>
  <c r="M21" i="11"/>
  <c r="I10" i="11"/>
  <c r="Q7" i="11"/>
  <c r="I11" i="11" l="1"/>
  <c r="I13" i="11" s="1"/>
  <c r="J12" i="11"/>
  <c r="G300" i="2" l="1"/>
  <c r="H458" i="2"/>
  <c r="E287" i="2"/>
  <c r="E201" i="2"/>
  <c r="E208" i="2"/>
  <c r="E245" i="2"/>
  <c r="O6" i="2"/>
  <c r="N6" i="2"/>
  <c r="E353" i="2"/>
  <c r="E118" i="2"/>
  <c r="E261" i="2" l="1"/>
  <c r="E290" i="2" l="1"/>
  <c r="E289" i="2"/>
  <c r="H150" i="2"/>
  <c r="H153" i="2" s="1"/>
  <c r="G327" i="2"/>
  <c r="E291" i="2"/>
  <c r="E288" i="2"/>
  <c r="H294" i="2"/>
  <c r="H295" i="2" s="1"/>
  <c r="H245" i="2" l="1"/>
  <c r="I245" i="2" s="1"/>
  <c r="I246" i="2" s="1"/>
  <c r="E213" i="2"/>
  <c r="H208" i="2"/>
  <c r="H204" i="2"/>
  <c r="H201" i="2"/>
  <c r="I183" i="2"/>
  <c r="G157" i="2" l="1"/>
  <c r="G156" i="2"/>
  <c r="E145" i="2"/>
  <c r="E92" i="2"/>
  <c r="I54" i="2"/>
  <c r="I55" i="2" s="1"/>
  <c r="I52" i="2"/>
  <c r="I53" i="2" s="1"/>
  <c r="I51" i="2"/>
  <c r="I56" i="2" l="1"/>
  <c r="H44" i="2"/>
  <c r="C41" i="3"/>
  <c r="D41" i="3"/>
  <c r="E41" i="3"/>
  <c r="F41" i="3"/>
  <c r="G41" i="3"/>
  <c r="C33" i="3"/>
  <c r="D33" i="3"/>
  <c r="E33" i="3"/>
  <c r="F33" i="3"/>
  <c r="G33" i="3"/>
  <c r="H33" i="3"/>
  <c r="I33" i="3"/>
  <c r="B33" i="3"/>
  <c r="J3" i="3"/>
  <c r="H25" i="2" l="1"/>
  <c r="J25" i="2"/>
  <c r="J26" i="2" s="1"/>
  <c r="I30" i="2"/>
  <c r="H28" i="2"/>
  <c r="H27" i="2"/>
  <c r="E71" i="2"/>
  <c r="E65" i="2"/>
  <c r="E62" i="2"/>
  <c r="E59" i="2"/>
  <c r="E58" i="2" l="1"/>
  <c r="E32" i="2"/>
  <c r="E30" i="2"/>
  <c r="E31" i="2"/>
  <c r="E29" i="2"/>
  <c r="E26" i="2"/>
  <c r="E27" i="2"/>
  <c r="E28" i="2"/>
  <c r="E25" i="2"/>
  <c r="E22" i="2"/>
  <c r="E23" i="2"/>
  <c r="E24" i="2"/>
  <c r="E21" i="2"/>
  <c r="E15" i="2"/>
  <c r="E12" i="2"/>
  <c r="Q29" i="2"/>
  <c r="Q24" i="2"/>
  <c r="E7" i="2"/>
  <c r="E19" i="2" l="1"/>
  <c r="E17" i="2"/>
  <c r="E13" i="2"/>
  <c r="H16" i="2" s="1"/>
  <c r="E8" i="2"/>
  <c r="P5" i="2" l="1"/>
  <c r="O5" i="2"/>
  <c r="M5" i="2"/>
  <c r="K5" i="2"/>
  <c r="J5" i="2"/>
  <c r="I5" i="2"/>
  <c r="D36" i="3"/>
  <c r="D35" i="3" s="1"/>
  <c r="K33" i="3"/>
  <c r="J33" i="3"/>
  <c r="I36" i="3"/>
  <c r="I35" i="3" s="1"/>
  <c r="H36" i="3"/>
  <c r="H35" i="3" s="1"/>
  <c r="G36" i="3"/>
  <c r="G35" i="3" s="1"/>
  <c r="F36" i="3"/>
  <c r="F35" i="3" s="1"/>
  <c r="E36" i="3"/>
  <c r="E35" i="3" s="1"/>
  <c r="C36" i="3"/>
  <c r="C35" i="3" s="1"/>
  <c r="B36" i="3"/>
  <c r="B35" i="3" s="1"/>
  <c r="K34" i="3"/>
  <c r="J34" i="3"/>
  <c r="H58" i="2" l="1"/>
  <c r="H459" i="2"/>
  <c r="J36" i="3"/>
  <c r="J35" i="3" s="1"/>
  <c r="K36" i="3"/>
  <c r="K35" i="3" s="1"/>
  <c r="H141" i="10"/>
  <c r="G45" i="10"/>
  <c r="I22" i="10"/>
  <c r="E11" i="10"/>
  <c r="I6" i="10"/>
  <c r="I186" i="10" l="1"/>
  <c r="I185" i="10"/>
  <c r="I184" i="10"/>
  <c r="I182" i="10"/>
  <c r="H182" i="10"/>
  <c r="K10" i="10" l="1"/>
  <c r="E90" i="9" l="1"/>
  <c r="I54" i="9" l="1"/>
  <c r="H58" i="9" l="1"/>
  <c r="H51" i="9"/>
  <c r="G160" i="10"/>
  <c r="G159" i="10"/>
  <c r="J52" i="9" l="1"/>
  <c r="J50" i="9"/>
  <c r="J49" i="9"/>
  <c r="E17" i="9"/>
  <c r="E13" i="9"/>
  <c r="E8" i="9"/>
  <c r="Q42" i="9"/>
  <c r="O42" i="9" l="1"/>
  <c r="Q43" i="9" s="1"/>
  <c r="M38" i="9"/>
  <c r="M40" i="9"/>
  <c r="L37" i="9"/>
  <c r="L36" i="9"/>
  <c r="H27" i="10" l="1"/>
  <c r="H49" i="10" l="1"/>
  <c r="H93" i="10" l="1"/>
  <c r="H92" i="10"/>
  <c r="H91" i="10"/>
  <c r="H90" i="10"/>
  <c r="I52" i="10"/>
  <c r="L6" i="10"/>
  <c r="E85" i="10"/>
  <c r="E246" i="10"/>
  <c r="J52" i="10"/>
  <c r="J51" i="10"/>
  <c r="J50" i="10"/>
  <c r="J49" i="10"/>
  <c r="E17" i="10"/>
  <c r="J28" i="10"/>
  <c r="I28" i="10"/>
  <c r="I27" i="10"/>
  <c r="I24" i="10"/>
  <c r="I26" i="10"/>
  <c r="I25" i="10"/>
  <c r="H32" i="10"/>
  <c r="H31" i="10"/>
  <c r="J26" i="10"/>
  <c r="E13" i="10"/>
  <c r="E8" i="10"/>
  <c r="H447" i="10" l="1"/>
  <c r="E242" i="10" l="1"/>
  <c r="I142" i="10"/>
  <c r="H134" i="10"/>
  <c r="H133" i="10"/>
  <c r="H54" i="10"/>
  <c r="H456" i="10"/>
  <c r="I454" i="10"/>
  <c r="E451" i="10"/>
  <c r="H450" i="10"/>
  <c r="J449" i="10"/>
  <c r="K449" i="10" s="1"/>
  <c r="H449" i="10"/>
  <c r="E449" i="10"/>
  <c r="E448" i="10"/>
  <c r="E446" i="10"/>
  <c r="I445" i="10"/>
  <c r="I444" i="10"/>
  <c r="E444" i="10"/>
  <c r="E443" i="10" s="1"/>
  <c r="I443" i="10"/>
  <c r="E440" i="10"/>
  <c r="E437" i="10"/>
  <c r="E436" i="10"/>
  <c r="E433" i="10"/>
  <c r="E432" i="10"/>
  <c r="E430" i="10"/>
  <c r="E428" i="10"/>
  <c r="E425" i="10" s="1"/>
  <c r="E426" i="10"/>
  <c r="E423" i="10"/>
  <c r="E421" i="10"/>
  <c r="I419" i="10"/>
  <c r="I418" i="10"/>
  <c r="H418" i="10"/>
  <c r="E418" i="10"/>
  <c r="E417" i="10" s="1"/>
  <c r="I417" i="10"/>
  <c r="E412" i="10"/>
  <c r="E408" i="10"/>
  <c r="E406" i="10"/>
  <c r="H403" i="10"/>
  <c r="H402" i="10"/>
  <c r="E402" i="10"/>
  <c r="E400" i="10"/>
  <c r="E397" i="10"/>
  <c r="E394" i="10"/>
  <c r="E390" i="10"/>
  <c r="E385" i="10" s="1"/>
  <c r="E387" i="10"/>
  <c r="E383" i="10"/>
  <c r="E381" i="10"/>
  <c r="E374" i="10"/>
  <c r="E361" i="10"/>
  <c r="E358" i="10"/>
  <c r="E355" i="10" s="1"/>
  <c r="E356" i="10"/>
  <c r="E351" i="10"/>
  <c r="H343" i="10"/>
  <c r="I342" i="10"/>
  <c r="H342" i="10"/>
  <c r="E341" i="10"/>
  <c r="E338" i="10"/>
  <c r="E337" i="10" s="1"/>
  <c r="E336" i="10" s="1"/>
  <c r="E331" i="10"/>
  <c r="E328" i="10" s="1"/>
  <c r="E324" i="10"/>
  <c r="E318" i="10"/>
  <c r="E314" i="10"/>
  <c r="E310" i="10"/>
  <c r="E307" i="10"/>
  <c r="E306" i="10"/>
  <c r="E302" i="10"/>
  <c r="E297" i="10"/>
  <c r="E295" i="10"/>
  <c r="E292" i="10"/>
  <c r="E289" i="10"/>
  <c r="E287" i="10"/>
  <c r="H282" i="10"/>
  <c r="H283" i="10" s="1"/>
  <c r="H281" i="10"/>
  <c r="E280" i="10"/>
  <c r="E278" i="10"/>
  <c r="H277" i="10"/>
  <c r="I277" i="10" s="1"/>
  <c r="H276" i="10"/>
  <c r="E275" i="10"/>
  <c r="E272" i="10"/>
  <c r="E270" i="10"/>
  <c r="E267" i="10"/>
  <c r="E264" i="10"/>
  <c r="E262" i="10"/>
  <c r="E258" i="10"/>
  <c r="E255" i="10"/>
  <c r="E251" i="10" s="1"/>
  <c r="E252" i="10"/>
  <c r="E245" i="10"/>
  <c r="E240" i="10"/>
  <c r="E237" i="10"/>
  <c r="E210" i="10"/>
  <c r="E207" i="10"/>
  <c r="H202" i="10"/>
  <c r="E200" i="10"/>
  <c r="H199" i="10"/>
  <c r="E196" i="10"/>
  <c r="E193" i="10"/>
  <c r="E188" i="10"/>
  <c r="H187" i="10"/>
  <c r="E181" i="10"/>
  <c r="E178" i="10"/>
  <c r="E175" i="10"/>
  <c r="E170" i="10"/>
  <c r="E168" i="10"/>
  <c r="E166" i="10"/>
  <c r="E158" i="10"/>
  <c r="E157" i="10" s="1"/>
  <c r="E154" i="10"/>
  <c r="E152" i="10"/>
  <c r="E148" i="10" s="1"/>
  <c r="E149" i="10"/>
  <c r="E145" i="10"/>
  <c r="H142" i="10"/>
  <c r="E141" i="10"/>
  <c r="E138" i="10"/>
  <c r="E132" i="10"/>
  <c r="E125" i="10"/>
  <c r="E122" i="10"/>
  <c r="E119" i="10"/>
  <c r="E111" i="10"/>
  <c r="E108" i="10"/>
  <c r="E103" i="10"/>
  <c r="E98" i="10" s="1"/>
  <c r="E99" i="10"/>
  <c r="J6" i="10" s="1"/>
  <c r="E94" i="10"/>
  <c r="E91" i="10"/>
  <c r="E84" i="10"/>
  <c r="E79" i="10"/>
  <c r="E75" i="10"/>
  <c r="O6" i="10" s="1"/>
  <c r="O8" i="10" s="1"/>
  <c r="E73" i="10"/>
  <c r="E69" i="10"/>
  <c r="E66" i="10"/>
  <c r="H63" i="10"/>
  <c r="E63" i="10"/>
  <c r="H62" i="10"/>
  <c r="E62" i="10"/>
  <c r="H58" i="10"/>
  <c r="H57" i="10"/>
  <c r="E55" i="10"/>
  <c r="L8" i="10" s="1"/>
  <c r="L22" i="10" s="1"/>
  <c r="J53" i="10"/>
  <c r="J54" i="10" s="1"/>
  <c r="J55" i="10" s="1"/>
  <c r="J56" i="10" s="1"/>
  <c r="H52" i="10"/>
  <c r="E52" i="10"/>
  <c r="I51" i="10"/>
  <c r="H51" i="10"/>
  <c r="I50" i="10"/>
  <c r="I49" i="10"/>
  <c r="I53" i="10" s="1"/>
  <c r="H40" i="10"/>
  <c r="H38" i="10"/>
  <c r="H34" i="10"/>
  <c r="E33" i="10"/>
  <c r="E5" i="10" s="1"/>
  <c r="L32" i="10"/>
  <c r="I32" i="10"/>
  <c r="E32" i="10"/>
  <c r="L31" i="10"/>
  <c r="L33" i="10" s="1"/>
  <c r="I31" i="10"/>
  <c r="E31" i="10"/>
  <c r="E30" i="10"/>
  <c r="M29" i="10"/>
  <c r="I29" i="10"/>
  <c r="H29" i="10"/>
  <c r="H30" i="10" s="1"/>
  <c r="E29" i="10"/>
  <c r="E28" i="10"/>
  <c r="E27" i="10"/>
  <c r="E26" i="10"/>
  <c r="E25" i="10"/>
  <c r="E24" i="10"/>
  <c r="E23" i="10"/>
  <c r="E22" i="10"/>
  <c r="M21" i="10"/>
  <c r="L21" i="10"/>
  <c r="I21" i="10"/>
  <c r="E21" i="10"/>
  <c r="I20" i="10"/>
  <c r="E19" i="10"/>
  <c r="J17" i="10"/>
  <c r="H17" i="10"/>
  <c r="I17" i="10" s="1"/>
  <c r="Q15" i="10"/>
  <c r="Q16" i="10" s="1"/>
  <c r="Q17" i="10" s="1"/>
  <c r="M15" i="10"/>
  <c r="K15" i="10"/>
  <c r="I15" i="10"/>
  <c r="H15" i="10"/>
  <c r="Q14" i="10"/>
  <c r="Q13" i="10"/>
  <c r="H16" i="10"/>
  <c r="O12" i="10"/>
  <c r="M12" i="10"/>
  <c r="P6" i="10"/>
  <c r="P8" i="10" s="1"/>
  <c r="N6" i="10"/>
  <c r="N8" i="10" s="1"/>
  <c r="E6" i="10"/>
  <c r="K5" i="10"/>
  <c r="J5" i="10"/>
  <c r="I5" i="10"/>
  <c r="M13" i="10" s="1"/>
  <c r="I279" i="9"/>
  <c r="I276" i="9"/>
  <c r="H276" i="9"/>
  <c r="K6" i="10" l="1"/>
  <c r="K8" i="10" s="1"/>
  <c r="E373" i="10"/>
  <c r="E335" i="10" s="1"/>
  <c r="E78" i="10"/>
  <c r="I83" i="10"/>
  <c r="E399" i="10"/>
  <c r="H401" i="10" s="1"/>
  <c r="I401" i="10" s="1"/>
  <c r="E274" i="10"/>
  <c r="E195" i="10"/>
  <c r="E118" i="10"/>
  <c r="E313" i="10"/>
  <c r="I8" i="10"/>
  <c r="I54" i="10"/>
  <c r="I55" i="10"/>
  <c r="E393" i="10"/>
  <c r="J13" i="10"/>
  <c r="J14" i="10" s="1"/>
  <c r="Q5" i="10"/>
  <c r="L12" i="10"/>
  <c r="Q4" i="10"/>
  <c r="N22" i="10"/>
  <c r="I38" i="10" s="1"/>
  <c r="N21" i="10"/>
  <c r="M6" i="10"/>
  <c r="J8" i="10"/>
  <c r="I280" i="10"/>
  <c r="J51" i="9"/>
  <c r="K11" i="10" l="1"/>
  <c r="K22" i="10"/>
  <c r="K21" i="10"/>
  <c r="E156" i="10"/>
  <c r="E4" i="10"/>
  <c r="I12" i="10"/>
  <c r="J22" i="10"/>
  <c r="J21" i="10"/>
  <c r="I36" i="10"/>
  <c r="H36" i="10"/>
  <c r="Q6" i="10"/>
  <c r="I10" i="10" s="1"/>
  <c r="I11" i="10" s="1"/>
  <c r="M10" i="10"/>
  <c r="M11" i="10" s="1"/>
  <c r="M8" i="10"/>
  <c r="M22" i="10" s="1"/>
  <c r="M26" i="10" s="1"/>
  <c r="J53" i="9"/>
  <c r="J54" i="9" s="1"/>
  <c r="H455" i="9"/>
  <c r="I453" i="9"/>
  <c r="E450" i="9"/>
  <c r="H449" i="9"/>
  <c r="J448" i="9"/>
  <c r="K448" i="9" s="1"/>
  <c r="H448" i="9"/>
  <c r="E448" i="9"/>
  <c r="E447" i="9" s="1"/>
  <c r="E445" i="9"/>
  <c r="E442" i="9" s="1"/>
  <c r="I444" i="9"/>
  <c r="I443" i="9"/>
  <c r="E443" i="9"/>
  <c r="I442" i="9"/>
  <c r="E439" i="9"/>
  <c r="E436" i="9"/>
  <c r="E435" i="9"/>
  <c r="E432" i="9"/>
  <c r="E431" i="9"/>
  <c r="E429" i="9"/>
  <c r="E427" i="9"/>
  <c r="E424" i="9" s="1"/>
  <c r="E425" i="9"/>
  <c r="E422" i="9"/>
  <c r="E420" i="9"/>
  <c r="I418" i="9"/>
  <c r="H417" i="9"/>
  <c r="E417" i="9"/>
  <c r="E416" i="9" s="1"/>
  <c r="I416" i="9"/>
  <c r="I417" i="9" s="1"/>
  <c r="E411" i="9"/>
  <c r="E407" i="9"/>
  <c r="E405" i="9"/>
  <c r="H402" i="9"/>
  <c r="H401" i="9"/>
  <c r="E401" i="9"/>
  <c r="E399" i="9"/>
  <c r="E398" i="9" s="1"/>
  <c r="H400" i="9" s="1"/>
  <c r="I400" i="9" s="1"/>
  <c r="E396" i="9"/>
  <c r="E393" i="9"/>
  <c r="E389" i="9"/>
  <c r="E384" i="9" s="1"/>
  <c r="E386" i="9"/>
  <c r="E382" i="9"/>
  <c r="E380" i="9"/>
  <c r="E372" i="9" s="1"/>
  <c r="E373" i="9"/>
  <c r="E360" i="9"/>
  <c r="E357" i="9"/>
  <c r="E354" i="9" s="1"/>
  <c r="E355" i="9"/>
  <c r="E350" i="9"/>
  <c r="H342" i="9"/>
  <c r="I341" i="9"/>
  <c r="H341" i="9"/>
  <c r="E340" i="9"/>
  <c r="E337" i="9"/>
  <c r="E336" i="9" s="1"/>
  <c r="E335" i="9" s="1"/>
  <c r="E330" i="9"/>
  <c r="E327" i="9" s="1"/>
  <c r="E323" i="9"/>
  <c r="E317" i="9"/>
  <c r="E313" i="9"/>
  <c r="E312" i="9" s="1"/>
  <c r="E309" i="9"/>
  <c r="E306" i="9"/>
  <c r="E305" i="9"/>
  <c r="E301" i="9"/>
  <c r="E296" i="9"/>
  <c r="E294" i="9"/>
  <c r="E291" i="9"/>
  <c r="E288" i="9"/>
  <c r="E286" i="9"/>
  <c r="H281" i="9"/>
  <c r="H282" i="9" s="1"/>
  <c r="H280" i="9"/>
  <c r="E279" i="9"/>
  <c r="E277" i="9"/>
  <c r="H275" i="9"/>
  <c r="E274" i="9"/>
  <c r="E273" i="9" s="1"/>
  <c r="E271" i="9"/>
  <c r="E269" i="9"/>
  <c r="E266" i="9"/>
  <c r="E263" i="9"/>
  <c r="E261" i="9"/>
  <c r="E257" i="9"/>
  <c r="E254" i="9"/>
  <c r="E251" i="9"/>
  <c r="E250" i="9"/>
  <c r="E245" i="9"/>
  <c r="E244" i="9" s="1"/>
  <c r="E242" i="9"/>
  <c r="E240" i="9"/>
  <c r="E237" i="9"/>
  <c r="E210" i="9"/>
  <c r="E207" i="9"/>
  <c r="H202" i="9"/>
  <c r="E200" i="9"/>
  <c r="H199" i="9"/>
  <c r="E196" i="9"/>
  <c r="E193" i="9"/>
  <c r="E188" i="9"/>
  <c r="H187" i="9"/>
  <c r="E181" i="9"/>
  <c r="E178" i="9"/>
  <c r="E175" i="9"/>
  <c r="E170" i="9"/>
  <c r="E168" i="9"/>
  <c r="E166" i="9"/>
  <c r="E158" i="9"/>
  <c r="E157" i="9" s="1"/>
  <c r="E154" i="9"/>
  <c r="E152" i="9"/>
  <c r="E149" i="9"/>
  <c r="E148" i="9"/>
  <c r="E145" i="9"/>
  <c r="H142" i="9"/>
  <c r="E141" i="9"/>
  <c r="E138" i="9"/>
  <c r="E132" i="9"/>
  <c r="E125" i="9"/>
  <c r="E122" i="9"/>
  <c r="E119" i="9"/>
  <c r="E118" i="9" s="1"/>
  <c r="E111" i="9"/>
  <c r="E108" i="9"/>
  <c r="E103" i="9"/>
  <c r="E98" i="9" s="1"/>
  <c r="E99" i="9"/>
  <c r="H97" i="9"/>
  <c r="E94" i="9"/>
  <c r="E91" i="9"/>
  <c r="E85" i="9"/>
  <c r="E84" i="9" s="1"/>
  <c r="E79" i="9"/>
  <c r="E75" i="9"/>
  <c r="E73" i="9"/>
  <c r="E69" i="9"/>
  <c r="E66" i="9"/>
  <c r="E63" i="9"/>
  <c r="E62" i="9" s="1"/>
  <c r="H62" i="9"/>
  <c r="H57" i="9"/>
  <c r="E55" i="9"/>
  <c r="I52" i="9"/>
  <c r="I53" i="9" s="1"/>
  <c r="H52" i="9"/>
  <c r="E52" i="9"/>
  <c r="I51" i="9"/>
  <c r="I50" i="9"/>
  <c r="I49" i="9"/>
  <c r="H49" i="9"/>
  <c r="H40" i="9"/>
  <c r="H38" i="9"/>
  <c r="H34" i="9"/>
  <c r="E33" i="9"/>
  <c r="L32" i="9"/>
  <c r="L33" i="9" s="1"/>
  <c r="I32" i="9"/>
  <c r="E32" i="9"/>
  <c r="L31" i="9"/>
  <c r="I31" i="9"/>
  <c r="E31" i="9"/>
  <c r="H30" i="9"/>
  <c r="E30" i="9"/>
  <c r="M29" i="9"/>
  <c r="I29" i="9"/>
  <c r="H29" i="9"/>
  <c r="E29" i="9"/>
  <c r="E28" i="9"/>
  <c r="E27" i="9"/>
  <c r="E26" i="9"/>
  <c r="E25" i="9"/>
  <c r="I24" i="9"/>
  <c r="E24" i="9"/>
  <c r="E23" i="9"/>
  <c r="E22" i="9"/>
  <c r="M21" i="9"/>
  <c r="L21" i="9"/>
  <c r="I21" i="9"/>
  <c r="E21" i="9"/>
  <c r="I20" i="9"/>
  <c r="E19" i="9"/>
  <c r="J17" i="9"/>
  <c r="H17" i="9"/>
  <c r="I17" i="9" s="1"/>
  <c r="H16" i="9"/>
  <c r="M15" i="9"/>
  <c r="K15" i="9"/>
  <c r="I15" i="9"/>
  <c r="H15" i="9"/>
  <c r="Q14" i="9"/>
  <c r="Q15" i="9" s="1"/>
  <c r="Q16" i="9" s="1"/>
  <c r="Q17" i="9" s="1"/>
  <c r="Q13" i="9"/>
  <c r="J13" i="9"/>
  <c r="O12" i="9"/>
  <c r="M12" i="9"/>
  <c r="L12" i="9"/>
  <c r="E11" i="9"/>
  <c r="P8" i="9"/>
  <c r="N8" i="9"/>
  <c r="N22" i="9" s="1"/>
  <c r="I38" i="9" s="1"/>
  <c r="P6" i="9"/>
  <c r="O6" i="9"/>
  <c r="O8" i="9" s="1"/>
  <c r="N6" i="9"/>
  <c r="L6" i="9"/>
  <c r="L8" i="9" s="1"/>
  <c r="L22" i="9" s="1"/>
  <c r="K6" i="9"/>
  <c r="I6" i="9"/>
  <c r="E6" i="9"/>
  <c r="K5" i="9"/>
  <c r="K8" i="9" s="1"/>
  <c r="J5" i="9"/>
  <c r="Q5" i="9" s="1"/>
  <c r="I5" i="9"/>
  <c r="J14" i="9" s="1"/>
  <c r="E78" i="9" l="1"/>
  <c r="E392" i="9"/>
  <c r="E195" i="9"/>
  <c r="E156" i="9" s="1"/>
  <c r="E455" i="10"/>
  <c r="E456" i="10" s="1"/>
  <c r="I13" i="10"/>
  <c r="Q7" i="10"/>
  <c r="S6" i="10" s="1"/>
  <c r="J12" i="10"/>
  <c r="E5" i="9"/>
  <c r="E4" i="9" s="1"/>
  <c r="M6" i="9"/>
  <c r="H63" i="9"/>
  <c r="I55" i="9"/>
  <c r="K21" i="9"/>
  <c r="K22" i="9"/>
  <c r="E334" i="9"/>
  <c r="Q4" i="9"/>
  <c r="J6" i="9"/>
  <c r="K11" i="9" s="1"/>
  <c r="M13" i="9"/>
  <c r="K10" i="9"/>
  <c r="N21" i="9"/>
  <c r="I8" i="9"/>
  <c r="I22" i="9" s="1"/>
  <c r="M29" i="8"/>
  <c r="Q15" i="8"/>
  <c r="Q14" i="8"/>
  <c r="Q29" i="10" l="1"/>
  <c r="E454" i="9"/>
  <c r="E455" i="9" s="1"/>
  <c r="I12" i="9"/>
  <c r="M8" i="9"/>
  <c r="M22" i="9" s="1"/>
  <c r="M26" i="9" s="1"/>
  <c r="M10" i="9"/>
  <c r="M11" i="9" s="1"/>
  <c r="H36" i="9"/>
  <c r="I36" i="9"/>
  <c r="J8" i="9"/>
  <c r="Q6" i="9"/>
  <c r="H449" i="8"/>
  <c r="H455" i="8"/>
  <c r="Q15" i="6"/>
  <c r="Q14" i="6"/>
  <c r="Q16" i="8"/>
  <c r="Q17" i="8" s="1"/>
  <c r="J22" i="9" l="1"/>
  <c r="J21" i="9"/>
  <c r="I10" i="9"/>
  <c r="Q7" i="9"/>
  <c r="Q4" i="8"/>
  <c r="E244" i="8"/>
  <c r="E245" i="8"/>
  <c r="H276" i="8"/>
  <c r="H275" i="8"/>
  <c r="H281" i="8"/>
  <c r="I11" i="9" l="1"/>
  <c r="I13" i="9" s="1"/>
  <c r="J12" i="9"/>
  <c r="Q29" i="9"/>
  <c r="S6" i="9"/>
  <c r="H63" i="8"/>
  <c r="I400" i="8"/>
  <c r="H400" i="8"/>
  <c r="H402" i="8"/>
  <c r="H401" i="8"/>
  <c r="E6" i="8" l="1"/>
  <c r="E11" i="8"/>
  <c r="E21" i="8"/>
  <c r="E19" i="8" s="1"/>
  <c r="E22" i="8"/>
  <c r="E23" i="8"/>
  <c r="E24" i="8"/>
  <c r="E25" i="8"/>
  <c r="E26" i="8"/>
  <c r="E27" i="8"/>
  <c r="E28" i="8"/>
  <c r="E29" i="8"/>
  <c r="E30" i="8"/>
  <c r="E31" i="8"/>
  <c r="E32" i="8"/>
  <c r="E33" i="8"/>
  <c r="E52" i="8"/>
  <c r="E55" i="8"/>
  <c r="E63" i="8"/>
  <c r="E62" i="8" s="1"/>
  <c r="E66" i="8"/>
  <c r="E69" i="8"/>
  <c r="E73" i="8"/>
  <c r="E75" i="8"/>
  <c r="O6" i="8" s="1"/>
  <c r="O8" i="8" s="1"/>
  <c r="E79" i="8"/>
  <c r="E78" i="8" s="1"/>
  <c r="E85" i="8"/>
  <c r="E84" i="8" s="1"/>
  <c r="E91" i="8"/>
  <c r="E94" i="8"/>
  <c r="E99" i="8"/>
  <c r="E98" i="8" s="1"/>
  <c r="E103" i="8"/>
  <c r="E108" i="8"/>
  <c r="E111" i="8"/>
  <c r="E119" i="8"/>
  <c r="E122" i="8"/>
  <c r="E125" i="8"/>
  <c r="E132" i="8"/>
  <c r="E118" i="8" s="1"/>
  <c r="E138" i="8"/>
  <c r="E141" i="8"/>
  <c r="E145" i="8"/>
  <c r="E148" i="8"/>
  <c r="E149" i="8"/>
  <c r="E152" i="8"/>
  <c r="E154" i="8"/>
  <c r="E158" i="8"/>
  <c r="E166" i="8"/>
  <c r="E168" i="8"/>
  <c r="E170" i="8"/>
  <c r="E175" i="8"/>
  <c r="E178" i="8"/>
  <c r="E181" i="8"/>
  <c r="E188" i="8"/>
  <c r="E193" i="8"/>
  <c r="E196" i="8"/>
  <c r="E195" i="8" s="1"/>
  <c r="E200" i="8"/>
  <c r="E207" i="8"/>
  <c r="E237" i="8"/>
  <c r="E210" i="8" s="1"/>
  <c r="E240" i="8"/>
  <c r="E242" i="8"/>
  <c r="E251" i="8"/>
  <c r="E250" i="8" s="1"/>
  <c r="E254" i="8"/>
  <c r="E257" i="8"/>
  <c r="E261" i="8"/>
  <c r="E263" i="8"/>
  <c r="E266" i="8"/>
  <c r="E269" i="8"/>
  <c r="E271" i="8"/>
  <c r="E274" i="8"/>
  <c r="E277" i="8"/>
  <c r="E279" i="8"/>
  <c r="E286" i="8"/>
  <c r="E288" i="8"/>
  <c r="E291" i="8"/>
  <c r="E294" i="8"/>
  <c r="E296" i="8"/>
  <c r="E301" i="8"/>
  <c r="E305" i="8"/>
  <c r="E306" i="8"/>
  <c r="E309" i="8"/>
  <c r="E313" i="8"/>
  <c r="E312" i="8" s="1"/>
  <c r="E317" i="8"/>
  <c r="E323" i="8"/>
  <c r="E330" i="8"/>
  <c r="E327" i="8" s="1"/>
  <c r="E337" i="8"/>
  <c r="E336" i="8" s="1"/>
  <c r="E335" i="8" s="1"/>
  <c r="E340" i="8"/>
  <c r="E350" i="8"/>
  <c r="E355" i="8"/>
  <c r="E354" i="8" s="1"/>
  <c r="E357" i="8"/>
  <c r="E360" i="8"/>
  <c r="E373" i="8"/>
  <c r="E372" i="8" s="1"/>
  <c r="E380" i="8"/>
  <c r="E382" i="8"/>
  <c r="E386" i="8"/>
  <c r="E384" i="8" s="1"/>
  <c r="E389" i="8"/>
  <c r="E396" i="8"/>
  <c r="E393" i="8" s="1"/>
  <c r="E399" i="8"/>
  <c r="E398" i="8" s="1"/>
  <c r="E401" i="8"/>
  <c r="E405" i="8"/>
  <c r="E407" i="8"/>
  <c r="E411" i="8"/>
  <c r="E417" i="8"/>
  <c r="E416" i="8" s="1"/>
  <c r="E420" i="8"/>
  <c r="E422" i="8"/>
  <c r="E425" i="8"/>
  <c r="E424" i="8" s="1"/>
  <c r="E427" i="8"/>
  <c r="E429" i="8"/>
  <c r="E432" i="8"/>
  <c r="E431" i="8" s="1"/>
  <c r="E436" i="8"/>
  <c r="E435" i="8" s="1"/>
  <c r="E439" i="8"/>
  <c r="E443" i="8"/>
  <c r="E445" i="8"/>
  <c r="E448" i="8"/>
  <c r="E447" i="8" s="1"/>
  <c r="E442" i="8" s="1"/>
  <c r="E450" i="8"/>
  <c r="I5" i="8"/>
  <c r="J5" i="8"/>
  <c r="K5" i="8"/>
  <c r="L6" i="8"/>
  <c r="N6" i="8"/>
  <c r="N8" i="8" s="1"/>
  <c r="P6" i="8"/>
  <c r="L8" i="8"/>
  <c r="L22" i="8" s="1"/>
  <c r="P8" i="8"/>
  <c r="L12" i="8"/>
  <c r="M12" i="8"/>
  <c r="O12" i="8"/>
  <c r="J13" i="8"/>
  <c r="Q13" i="8"/>
  <c r="J14" i="8"/>
  <c r="H15" i="8"/>
  <c r="I15" i="8"/>
  <c r="K15" i="8"/>
  <c r="M15" i="8"/>
  <c r="H16" i="8"/>
  <c r="H17" i="8"/>
  <c r="I17" i="8" s="1"/>
  <c r="J17" i="8"/>
  <c r="I20" i="8"/>
  <c r="I21" i="8"/>
  <c r="L21" i="8"/>
  <c r="M21" i="8"/>
  <c r="I24" i="8"/>
  <c r="H29" i="8"/>
  <c r="H30" i="8" s="1"/>
  <c r="I29" i="8"/>
  <c r="I31" i="8"/>
  <c r="L31" i="8"/>
  <c r="L33" i="8" s="1"/>
  <c r="I32" i="8"/>
  <c r="L32" i="8"/>
  <c r="H34" i="8"/>
  <c r="H38" i="8"/>
  <c r="H40" i="8"/>
  <c r="H49" i="8"/>
  <c r="I49" i="8"/>
  <c r="I50" i="8"/>
  <c r="H51" i="8"/>
  <c r="I51" i="8"/>
  <c r="H52" i="8"/>
  <c r="I52" i="8"/>
  <c r="I53" i="8"/>
  <c r="I55" i="8" s="1"/>
  <c r="H57" i="8"/>
  <c r="H58" i="8"/>
  <c r="H62" i="8"/>
  <c r="H97" i="8"/>
  <c r="H142" i="8"/>
  <c r="H187" i="8"/>
  <c r="H199" i="8"/>
  <c r="H202" i="8"/>
  <c r="H280" i="8"/>
  <c r="H282" i="8"/>
  <c r="H341" i="8"/>
  <c r="I341" i="8"/>
  <c r="H342" i="8"/>
  <c r="I416" i="8"/>
  <c r="H417" i="8"/>
  <c r="I417" i="8"/>
  <c r="I418" i="8"/>
  <c r="I442" i="8" s="1"/>
  <c r="I443" i="8"/>
  <c r="I444" i="8"/>
  <c r="H448" i="8"/>
  <c r="J448" i="8"/>
  <c r="K448" i="8" s="1"/>
  <c r="I453" i="8"/>
  <c r="E157" i="8" l="1"/>
  <c r="E273" i="8"/>
  <c r="E5" i="8"/>
  <c r="I6" i="8"/>
  <c r="I8" i="8" s="1"/>
  <c r="I22" i="8" s="1"/>
  <c r="I36" i="8" s="1"/>
  <c r="E334" i="8"/>
  <c r="M6" i="8"/>
  <c r="E392" i="8"/>
  <c r="K6" i="8"/>
  <c r="K8" i="8" s="1"/>
  <c r="K22" i="8" s="1"/>
  <c r="J6" i="8"/>
  <c r="J8" i="8" s="1"/>
  <c r="N22" i="8"/>
  <c r="I38" i="8" s="1"/>
  <c r="N21" i="8"/>
  <c r="I54" i="8"/>
  <c r="K21" i="8"/>
  <c r="M13" i="8"/>
  <c r="K10" i="8"/>
  <c r="Q5" i="8"/>
  <c r="E156" i="8" l="1"/>
  <c r="J22" i="8"/>
  <c r="J21" i="8"/>
  <c r="K11" i="8"/>
  <c r="H36" i="8"/>
  <c r="Q6" i="8"/>
  <c r="M8" i="8"/>
  <c r="M22" i="8" s="1"/>
  <c r="M26" i="8" s="1"/>
  <c r="M10" i="8"/>
  <c r="M11" i="8" s="1"/>
  <c r="E4" i="8"/>
  <c r="I12" i="8"/>
  <c r="E454" i="8" l="1"/>
  <c r="E455" i="8" s="1"/>
  <c r="I10" i="8"/>
  <c r="Q7" i="8"/>
  <c r="E273" i="7"/>
  <c r="S6" i="8" l="1"/>
  <c r="Q29" i="8"/>
  <c r="I11" i="8"/>
  <c r="I13" i="8" s="1"/>
  <c r="J12" i="8"/>
  <c r="E244" i="7"/>
  <c r="E243" i="7" s="1"/>
  <c r="H61" i="7"/>
  <c r="H448" i="7"/>
  <c r="H275" i="7"/>
  <c r="H400" i="7" l="1"/>
  <c r="H401" i="7"/>
  <c r="H279" i="7"/>
  <c r="K447" i="7"/>
  <c r="J447" i="7"/>
  <c r="H447" i="7"/>
  <c r="G20" i="3"/>
  <c r="G19" i="3"/>
  <c r="F13" i="3"/>
  <c r="I20" i="3"/>
  <c r="H20" i="3"/>
  <c r="H19" i="3" s="1"/>
  <c r="F20" i="3"/>
  <c r="F19" i="3" s="1"/>
  <c r="E20" i="3"/>
  <c r="D20" i="3"/>
  <c r="D19" i="3" s="1"/>
  <c r="C20" i="3"/>
  <c r="C19" i="3" s="1"/>
  <c r="B20" i="3"/>
  <c r="B19" i="3" s="1"/>
  <c r="I19" i="3"/>
  <c r="E19" i="3"/>
  <c r="K18" i="3"/>
  <c r="K20" i="3" s="1"/>
  <c r="K19" i="3" s="1"/>
  <c r="J18" i="3"/>
  <c r="K17" i="3"/>
  <c r="J17" i="3"/>
  <c r="J20" i="3" l="1"/>
  <c r="J19" i="3" s="1"/>
  <c r="I452" i="7"/>
  <c r="E449" i="7"/>
  <c r="E447" i="7"/>
  <c r="E446" i="7" s="1"/>
  <c r="E444" i="7"/>
  <c r="I443" i="7"/>
  <c r="I442" i="7"/>
  <c r="E442" i="7"/>
  <c r="E438" i="7"/>
  <c r="E435" i="7"/>
  <c r="E434" i="7"/>
  <c r="E431" i="7"/>
  <c r="E430" i="7" s="1"/>
  <c r="E428" i="7"/>
  <c r="E426" i="7"/>
  <c r="E424" i="7"/>
  <c r="E423" i="7" s="1"/>
  <c r="E421" i="7"/>
  <c r="E419" i="7"/>
  <c r="E416" i="7"/>
  <c r="E415" i="7" s="1"/>
  <c r="E410" i="7"/>
  <c r="E406" i="7"/>
  <c r="E404" i="7"/>
  <c r="E400" i="7"/>
  <c r="E397" i="7"/>
  <c r="E395" i="7"/>
  <c r="E392" i="7" s="1"/>
  <c r="E388" i="7"/>
  <c r="E385" i="7"/>
  <c r="E383" i="7" s="1"/>
  <c r="E381" i="7"/>
  <c r="E379" i="7"/>
  <c r="E372" i="7"/>
  <c r="E371" i="7" s="1"/>
  <c r="E359" i="7"/>
  <c r="E356" i="7"/>
  <c r="E354" i="7"/>
  <c r="E353" i="7" s="1"/>
  <c r="E349" i="7"/>
  <c r="E339" i="7"/>
  <c r="E336" i="7"/>
  <c r="E335" i="7" s="1"/>
  <c r="E334" i="7" s="1"/>
  <c r="E333" i="7" s="1"/>
  <c r="E329" i="7"/>
  <c r="E326" i="7" s="1"/>
  <c r="E322" i="7"/>
  <c r="E316" i="7"/>
  <c r="E312" i="7"/>
  <c r="E311" i="7" s="1"/>
  <c r="E308" i="7"/>
  <c r="E305" i="7"/>
  <c r="E304" i="7" s="1"/>
  <c r="E300" i="7"/>
  <c r="E295" i="7"/>
  <c r="E293" i="7"/>
  <c r="E290" i="7"/>
  <c r="E287" i="7"/>
  <c r="E285" i="7"/>
  <c r="H281" i="7"/>
  <c r="H280" i="7"/>
  <c r="E278" i="7"/>
  <c r="E276" i="7"/>
  <c r="E270" i="7"/>
  <c r="E268" i="7"/>
  <c r="E265" i="7"/>
  <c r="E262" i="7"/>
  <c r="E260" i="7"/>
  <c r="E256" i="7"/>
  <c r="E253" i="7"/>
  <c r="E250" i="7"/>
  <c r="E249" i="7"/>
  <c r="E241" i="7"/>
  <c r="E239" i="7"/>
  <c r="E194" i="7" s="1"/>
  <c r="E236" i="7"/>
  <c r="E209" i="7"/>
  <c r="E206" i="7"/>
  <c r="H201" i="7"/>
  <c r="E199" i="7"/>
  <c r="E195" i="7"/>
  <c r="E192" i="7"/>
  <c r="E187" i="7"/>
  <c r="E180" i="7"/>
  <c r="E177" i="7"/>
  <c r="E174" i="7"/>
  <c r="E169" i="7"/>
  <c r="E167" i="7"/>
  <c r="E165" i="7"/>
  <c r="E157" i="7"/>
  <c r="E153" i="7"/>
  <c r="E151" i="7"/>
  <c r="E147" i="7" s="1"/>
  <c r="E148" i="7"/>
  <c r="E144" i="7"/>
  <c r="E140" i="7"/>
  <c r="E137" i="7"/>
  <c r="E131" i="7"/>
  <c r="E124" i="7"/>
  <c r="E121" i="7"/>
  <c r="E117" i="7" s="1"/>
  <c r="E118" i="7"/>
  <c r="E110" i="7"/>
  <c r="E107" i="7"/>
  <c r="E102" i="7"/>
  <c r="E98" i="7"/>
  <c r="E93" i="7"/>
  <c r="E90" i="7"/>
  <c r="E84" i="7"/>
  <c r="E83" i="7"/>
  <c r="E78" i="7"/>
  <c r="E77" i="7" s="1"/>
  <c r="E74" i="7"/>
  <c r="E72" i="7"/>
  <c r="E68" i="7"/>
  <c r="E61" i="7" s="1"/>
  <c r="H62" i="7" s="1"/>
  <c r="E65" i="7"/>
  <c r="E62" i="7"/>
  <c r="E55" i="7"/>
  <c r="E52" i="7"/>
  <c r="I51" i="7"/>
  <c r="I50" i="7"/>
  <c r="I49" i="7"/>
  <c r="I52" i="7" s="1"/>
  <c r="I53" i="7" s="1"/>
  <c r="H49" i="7"/>
  <c r="H40" i="7"/>
  <c r="E33" i="7"/>
  <c r="L32" i="7"/>
  <c r="I32" i="7"/>
  <c r="E32" i="7"/>
  <c r="L31" i="7"/>
  <c r="L33" i="7" s="1"/>
  <c r="E31" i="7"/>
  <c r="E30" i="7"/>
  <c r="I29" i="7"/>
  <c r="H29" i="7"/>
  <c r="H30" i="7" s="1"/>
  <c r="E29" i="7"/>
  <c r="E28" i="7"/>
  <c r="E27" i="7"/>
  <c r="E26" i="7"/>
  <c r="E25" i="7"/>
  <c r="I24" i="7"/>
  <c r="E24" i="7"/>
  <c r="E23" i="7"/>
  <c r="E22" i="7"/>
  <c r="M21" i="7"/>
  <c r="L21" i="7"/>
  <c r="I21" i="7"/>
  <c r="E21" i="7"/>
  <c r="E19" i="7" s="1"/>
  <c r="I20" i="7"/>
  <c r="J17" i="7"/>
  <c r="I17" i="7"/>
  <c r="H17" i="7"/>
  <c r="H16" i="7"/>
  <c r="K15" i="7"/>
  <c r="I15" i="7"/>
  <c r="H15" i="7"/>
  <c r="Q13" i="7"/>
  <c r="E11" i="7"/>
  <c r="P6" i="7"/>
  <c r="O6" i="7"/>
  <c r="N6" i="7"/>
  <c r="L6" i="7"/>
  <c r="K6" i="7"/>
  <c r="E6" i="7"/>
  <c r="P5" i="7"/>
  <c r="O5" i="7"/>
  <c r="O8" i="7" s="1"/>
  <c r="N5" i="7"/>
  <c r="N8" i="7" s="1"/>
  <c r="M12" i="7"/>
  <c r="L5" i="7"/>
  <c r="I31" i="7" s="1"/>
  <c r="K5" i="7"/>
  <c r="K8" i="7" s="1"/>
  <c r="J5" i="7"/>
  <c r="I5" i="7"/>
  <c r="E97" i="7" l="1"/>
  <c r="E156" i="7"/>
  <c r="M6" i="7"/>
  <c r="M10" i="7" s="1"/>
  <c r="M11" i="7" s="1"/>
  <c r="E272" i="7"/>
  <c r="E155" i="7" s="1"/>
  <c r="Q4" i="7"/>
  <c r="K10" i="7"/>
  <c r="M13" i="7"/>
  <c r="E441" i="7"/>
  <c r="I54" i="7"/>
  <c r="I55" i="7"/>
  <c r="N21" i="7"/>
  <c r="N22" i="7"/>
  <c r="K21" i="7"/>
  <c r="K22" i="7"/>
  <c r="E391" i="7"/>
  <c r="I6" i="7"/>
  <c r="E5" i="7"/>
  <c r="Q5" i="7"/>
  <c r="L8" i="7"/>
  <c r="L22" i="7" s="1"/>
  <c r="P8" i="7"/>
  <c r="O12" i="7"/>
  <c r="M29" i="7"/>
  <c r="I8" i="7"/>
  <c r="I22" i="7" s="1"/>
  <c r="M15" i="7"/>
  <c r="L12" i="7"/>
  <c r="J13" i="7"/>
  <c r="J14" i="7" s="1"/>
  <c r="J6" i="7"/>
  <c r="K11" i="7" s="1"/>
  <c r="I12" i="6"/>
  <c r="M8" i="7" l="1"/>
  <c r="M22" i="7" s="1"/>
  <c r="M26" i="7" s="1"/>
  <c r="I36" i="7"/>
  <c r="H36" i="7"/>
  <c r="E4" i="7"/>
  <c r="E453" i="7" s="1"/>
  <c r="E454" i="7" s="1"/>
  <c r="I12" i="7"/>
  <c r="Q6" i="7"/>
  <c r="I10" i="7" s="1"/>
  <c r="I11" i="7" s="1"/>
  <c r="I13" i="7" s="1"/>
  <c r="J8" i="7"/>
  <c r="H278" i="6"/>
  <c r="J21" i="7" l="1"/>
  <c r="J22" i="7"/>
  <c r="Q7" i="7"/>
  <c r="J12" i="7"/>
  <c r="H274" i="6"/>
  <c r="S6" i="7" l="1"/>
  <c r="Q29" i="7"/>
  <c r="H40" i="6"/>
  <c r="H280" i="6"/>
  <c r="H279" i="6"/>
  <c r="H400" i="6"/>
  <c r="E446" i="6" l="1"/>
  <c r="E272" i="6"/>
  <c r="I451" i="6" l="1"/>
  <c r="I29" i="6"/>
  <c r="E29" i="6"/>
  <c r="E19" i="6"/>
  <c r="E30" i="6"/>
  <c r="E31" i="6"/>
  <c r="E32" i="6"/>
  <c r="E22" i="6"/>
  <c r="E23" i="6"/>
  <c r="E24" i="6"/>
  <c r="E25" i="6"/>
  <c r="E26" i="6"/>
  <c r="E27" i="6"/>
  <c r="E28" i="6"/>
  <c r="E21" i="6"/>
  <c r="I24" i="6" l="1"/>
  <c r="E338" i="6" l="1"/>
  <c r="E68" i="6"/>
  <c r="E65" i="6"/>
  <c r="E62" i="6"/>
  <c r="E61" i="6" l="1"/>
  <c r="I442" i="6"/>
  <c r="I441" i="6"/>
  <c r="E399" i="6"/>
  <c r="E78" i="6"/>
  <c r="E93" i="6"/>
  <c r="P6" i="6"/>
  <c r="H66" i="5" l="1"/>
  <c r="H64" i="5"/>
  <c r="H65" i="5"/>
  <c r="I32" i="6" l="1"/>
  <c r="E448" i="6"/>
  <c r="H447" i="6"/>
  <c r="E445" i="6"/>
  <c r="E443" i="6"/>
  <c r="E441" i="6"/>
  <c r="E437" i="6"/>
  <c r="E434" i="6"/>
  <c r="E433" i="6" s="1"/>
  <c r="E430" i="6"/>
  <c r="E429" i="6" s="1"/>
  <c r="E427" i="6"/>
  <c r="E425" i="6"/>
  <c r="E423" i="6"/>
  <c r="E420" i="6"/>
  <c r="E418" i="6"/>
  <c r="E415" i="6"/>
  <c r="E409" i="6"/>
  <c r="E405" i="6"/>
  <c r="E403" i="6"/>
  <c r="E396" i="6" s="1"/>
  <c r="E394" i="6"/>
  <c r="E391" i="6"/>
  <c r="E387" i="6"/>
  <c r="E384" i="6"/>
  <c r="E382" i="6" s="1"/>
  <c r="E380" i="6"/>
  <c r="E378" i="6"/>
  <c r="E371" i="6"/>
  <c r="E358" i="6"/>
  <c r="K6" i="6" s="1"/>
  <c r="E355" i="6"/>
  <c r="E353" i="6"/>
  <c r="E348" i="6"/>
  <c r="E333" i="6"/>
  <c r="E335" i="6"/>
  <c r="E334" i="6" s="1"/>
  <c r="E328" i="6"/>
  <c r="E325" i="6" s="1"/>
  <c r="E321" i="6"/>
  <c r="E315" i="6"/>
  <c r="E311" i="6"/>
  <c r="E307" i="6"/>
  <c r="E304" i="6"/>
  <c r="E299" i="6"/>
  <c r="E294" i="6"/>
  <c r="E292" i="6"/>
  <c r="E289" i="6"/>
  <c r="E286" i="6"/>
  <c r="E284" i="6"/>
  <c r="E277" i="6"/>
  <c r="M6" i="6" s="1"/>
  <c r="E275" i="6"/>
  <c r="E269" i="6"/>
  <c r="E267" i="6"/>
  <c r="E264" i="6"/>
  <c r="E261" i="6"/>
  <c r="E259" i="6"/>
  <c r="E255" i="6"/>
  <c r="E252" i="6"/>
  <c r="E249" i="6"/>
  <c r="E244" i="6"/>
  <c r="E243" i="6"/>
  <c r="E241" i="6"/>
  <c r="E239" i="6"/>
  <c r="E236" i="6"/>
  <c r="E209" i="6"/>
  <c r="E206" i="6"/>
  <c r="H201" i="6"/>
  <c r="E199" i="6"/>
  <c r="E195" i="6"/>
  <c r="E192" i="6"/>
  <c r="E187" i="6"/>
  <c r="E180" i="6"/>
  <c r="E177" i="6"/>
  <c r="E174" i="6"/>
  <c r="E169" i="6"/>
  <c r="E167" i="6"/>
  <c r="E165" i="6"/>
  <c r="E157" i="6"/>
  <c r="E153" i="6"/>
  <c r="E151" i="6"/>
  <c r="E148" i="6"/>
  <c r="E144" i="6"/>
  <c r="E140" i="6"/>
  <c r="E137" i="6"/>
  <c r="E131" i="6"/>
  <c r="E124" i="6"/>
  <c r="E121" i="6"/>
  <c r="E118" i="6"/>
  <c r="E110" i="6"/>
  <c r="E107" i="6"/>
  <c r="E102" i="6"/>
  <c r="E98" i="6"/>
  <c r="E90" i="6"/>
  <c r="L6" i="6" s="1"/>
  <c r="E84" i="6"/>
  <c r="E74" i="6"/>
  <c r="E72" i="6"/>
  <c r="E55" i="6"/>
  <c r="E52" i="6"/>
  <c r="I51" i="6"/>
  <c r="I50" i="6"/>
  <c r="I49" i="6"/>
  <c r="H49" i="6"/>
  <c r="E33" i="6"/>
  <c r="L32" i="6"/>
  <c r="L31" i="6"/>
  <c r="M21" i="6"/>
  <c r="L21" i="6"/>
  <c r="I21" i="6"/>
  <c r="I20" i="6"/>
  <c r="J17" i="6"/>
  <c r="H17" i="6"/>
  <c r="I17" i="6" s="1"/>
  <c r="H16" i="6"/>
  <c r="K15" i="6"/>
  <c r="I15" i="6"/>
  <c r="H15" i="6"/>
  <c r="Q13" i="6"/>
  <c r="E11" i="6"/>
  <c r="N6" i="6"/>
  <c r="E6" i="6"/>
  <c r="P5" i="6"/>
  <c r="P8" i="6" s="1"/>
  <c r="O5" i="6"/>
  <c r="N5" i="6"/>
  <c r="N8" i="6" s="1"/>
  <c r="M5" i="6"/>
  <c r="L5" i="6"/>
  <c r="I31" i="6" s="1"/>
  <c r="K5" i="6"/>
  <c r="J5" i="6"/>
  <c r="I5" i="6"/>
  <c r="H446" i="6" l="1"/>
  <c r="H61" i="6"/>
  <c r="E97" i="6"/>
  <c r="J6" i="6"/>
  <c r="E194" i="6"/>
  <c r="E248" i="6"/>
  <c r="I6" i="6"/>
  <c r="I8" i="6" s="1"/>
  <c r="I22" i="6" s="1"/>
  <c r="I36" i="6" s="1"/>
  <c r="H29" i="6"/>
  <c r="H30" i="6" s="1"/>
  <c r="E117" i="6"/>
  <c r="E271" i="6"/>
  <c r="E352" i="6"/>
  <c r="L33" i="6"/>
  <c r="I52" i="6"/>
  <c r="I53" i="6" s="1"/>
  <c r="I54" i="6" s="1"/>
  <c r="E147" i="6"/>
  <c r="E303" i="6"/>
  <c r="E414" i="6"/>
  <c r="E390" i="6" s="1"/>
  <c r="E440" i="6"/>
  <c r="O6" i="6"/>
  <c r="M10" i="6"/>
  <c r="M11" i="6" s="1"/>
  <c r="O8" i="6"/>
  <c r="J8" i="6"/>
  <c r="E422" i="6"/>
  <c r="E156" i="6"/>
  <c r="E370" i="6"/>
  <c r="E332" i="6" s="1"/>
  <c r="E83" i="6"/>
  <c r="E77" i="6" s="1"/>
  <c r="E310" i="6"/>
  <c r="M13" i="6"/>
  <c r="K10" i="6"/>
  <c r="E5" i="6"/>
  <c r="N21" i="6"/>
  <c r="N22" i="6"/>
  <c r="I55" i="6"/>
  <c r="L8" i="6"/>
  <c r="L22" i="6" s="1"/>
  <c r="O12" i="6"/>
  <c r="M29" i="6"/>
  <c r="Q4" i="6"/>
  <c r="M15" i="6"/>
  <c r="L12" i="6"/>
  <c r="J13" i="6"/>
  <c r="J14" i="6" s="1"/>
  <c r="Q5" i="6"/>
  <c r="K8" i="6"/>
  <c r="M12" i="6"/>
  <c r="J6" i="5"/>
  <c r="I51" i="5"/>
  <c r="I52" i="5"/>
  <c r="I50" i="5"/>
  <c r="I48" i="5"/>
  <c r="I47" i="5"/>
  <c r="I46" i="5"/>
  <c r="I49" i="5" s="1"/>
  <c r="H46" i="5"/>
  <c r="I6" i="5"/>
  <c r="M5" i="5"/>
  <c r="K5" i="5"/>
  <c r="J5" i="5"/>
  <c r="I5" i="5"/>
  <c r="E28" i="3"/>
  <c r="C28" i="3"/>
  <c r="F12" i="3"/>
  <c r="D13" i="3"/>
  <c r="D12" i="3" s="1"/>
  <c r="C12" i="3"/>
  <c r="B12" i="3"/>
  <c r="H27" i="3"/>
  <c r="H30" i="3" s="1"/>
  <c r="I13" i="3"/>
  <c r="I12" i="3" s="1"/>
  <c r="H13" i="3"/>
  <c r="H12" i="3" s="1"/>
  <c r="G13" i="3"/>
  <c r="G12" i="3" s="1"/>
  <c r="E13" i="3"/>
  <c r="E12" i="3" s="1"/>
  <c r="C13" i="3"/>
  <c r="K11" i="3"/>
  <c r="K10" i="3"/>
  <c r="J10" i="3"/>
  <c r="H36" i="6" l="1"/>
  <c r="E155" i="6"/>
  <c r="M8" i="6"/>
  <c r="M22" i="6" s="1"/>
  <c r="E4" i="6"/>
  <c r="K21" i="6"/>
  <c r="K22" i="6"/>
  <c r="Q6" i="6"/>
  <c r="I10" i="6" s="1"/>
  <c r="I11" i="6" s="1"/>
  <c r="K11" i="6"/>
  <c r="J21" i="6"/>
  <c r="J22" i="6"/>
  <c r="K13" i="3"/>
  <c r="K12" i="3" s="1"/>
  <c r="B13" i="3"/>
  <c r="J11" i="3"/>
  <c r="J13" i="3" s="1"/>
  <c r="J12" i="3" s="1"/>
  <c r="O6" i="5"/>
  <c r="K6" i="5"/>
  <c r="I20" i="5"/>
  <c r="E452" i="6" l="1"/>
  <c r="E453" i="6" s="1"/>
  <c r="I13" i="6"/>
  <c r="J12" i="6"/>
  <c r="Q7" i="6"/>
  <c r="S6" i="6" s="1"/>
  <c r="E64" i="5"/>
  <c r="Q29" i="6" l="1"/>
  <c r="L30" i="5"/>
  <c r="L29" i="5"/>
  <c r="L28" i="5"/>
  <c r="E58" i="5"/>
  <c r="E95" i="5" l="1"/>
  <c r="E157" i="5" l="1"/>
  <c r="N6" i="5" s="1"/>
  <c r="E179" i="5"/>
  <c r="E172" i="5"/>
  <c r="E347" i="5"/>
  <c r="E98" i="5" l="1"/>
  <c r="E86" i="5"/>
  <c r="E437" i="5" l="1"/>
  <c r="H436" i="5"/>
  <c r="E435" i="5"/>
  <c r="E434" i="5" s="1"/>
  <c r="E432" i="5"/>
  <c r="E430" i="5"/>
  <c r="E426" i="5"/>
  <c r="E423" i="5"/>
  <c r="E419" i="5"/>
  <c r="E418" i="5" s="1"/>
  <c r="E416" i="5"/>
  <c r="E414" i="5"/>
  <c r="E412" i="5"/>
  <c r="E409" i="5"/>
  <c r="E407" i="5"/>
  <c r="E404" i="5"/>
  <c r="E398" i="5"/>
  <c r="E394" i="5"/>
  <c r="E392" i="5"/>
  <c r="E383" i="5"/>
  <c r="E380" i="5" s="1"/>
  <c r="E376" i="5"/>
  <c r="E373" i="5"/>
  <c r="E369" i="5"/>
  <c r="E367" i="5"/>
  <c r="E360" i="5"/>
  <c r="E344" i="5"/>
  <c r="E342" i="5"/>
  <c r="E337" i="5"/>
  <c r="E328" i="5"/>
  <c r="E325" i="5"/>
  <c r="E318" i="5"/>
  <c r="E315" i="5" s="1"/>
  <c r="E311" i="5"/>
  <c r="E306" i="5"/>
  <c r="E302" i="5"/>
  <c r="E298" i="5"/>
  <c r="E295" i="5"/>
  <c r="E290" i="5"/>
  <c r="E285" i="5"/>
  <c r="E283" i="5"/>
  <c r="E280" i="5"/>
  <c r="E277" i="5"/>
  <c r="E275" i="5"/>
  <c r="E268" i="5"/>
  <c r="E266" i="5"/>
  <c r="E264" i="5"/>
  <c r="E261" i="5"/>
  <c r="E259" i="5"/>
  <c r="E256" i="5"/>
  <c r="E253" i="5"/>
  <c r="E251" i="5"/>
  <c r="E247" i="5"/>
  <c r="E244" i="5"/>
  <c r="E241" i="5"/>
  <c r="E236" i="5"/>
  <c r="E235" i="5" s="1"/>
  <c r="E233" i="5"/>
  <c r="E231" i="5"/>
  <c r="E228" i="5"/>
  <c r="E201" i="5" s="1"/>
  <c r="E198" i="5"/>
  <c r="H193" i="5"/>
  <c r="E191" i="5"/>
  <c r="E187" i="5"/>
  <c r="E184" i="5"/>
  <c r="E169" i="5"/>
  <c r="E162" i="5"/>
  <c r="M6" i="5" s="1"/>
  <c r="Q6" i="5" s="1"/>
  <c r="I10" i="5" s="1"/>
  <c r="E155" i="5"/>
  <c r="E153" i="5"/>
  <c r="E145" i="5"/>
  <c r="E141" i="5"/>
  <c r="E139" i="5"/>
  <c r="E136" i="5"/>
  <c r="E132" i="5"/>
  <c r="E128" i="5"/>
  <c r="E125" i="5"/>
  <c r="E119" i="5"/>
  <c r="E112" i="5"/>
  <c r="E109" i="5"/>
  <c r="E106" i="5"/>
  <c r="E90" i="5"/>
  <c r="E82" i="5"/>
  <c r="P6" i="5" s="1"/>
  <c r="E79" i="5"/>
  <c r="E73" i="5"/>
  <c r="E68" i="5"/>
  <c r="E62" i="5"/>
  <c r="E52" i="5"/>
  <c r="L6" i="5" s="1"/>
  <c r="E49" i="5"/>
  <c r="E30" i="5"/>
  <c r="E5" i="5" s="1"/>
  <c r="F24" i="5"/>
  <c r="F23" i="5"/>
  <c r="F22" i="5"/>
  <c r="M21" i="5"/>
  <c r="L21" i="5"/>
  <c r="I21" i="5"/>
  <c r="F21" i="5"/>
  <c r="E19" i="5"/>
  <c r="J17" i="5"/>
  <c r="H17" i="5"/>
  <c r="I17" i="5" s="1"/>
  <c r="H16" i="5"/>
  <c r="K15" i="5"/>
  <c r="I15" i="5"/>
  <c r="H15" i="5"/>
  <c r="Q13" i="5"/>
  <c r="E11" i="5"/>
  <c r="F8" i="5"/>
  <c r="E6" i="5"/>
  <c r="P5" i="5"/>
  <c r="O5" i="5"/>
  <c r="N5" i="5"/>
  <c r="N8" i="5" s="1"/>
  <c r="L5" i="5"/>
  <c r="Q5" i="5" l="1"/>
  <c r="Q7" i="5" s="1"/>
  <c r="Q26" i="5" s="1"/>
  <c r="I12" i="5"/>
  <c r="E4" i="5"/>
  <c r="E324" i="5"/>
  <c r="E323" i="5" s="1"/>
  <c r="H435" i="5"/>
  <c r="M26" i="5"/>
  <c r="E144" i="5"/>
  <c r="E186" i="5"/>
  <c r="E263" i="5"/>
  <c r="E135" i="5"/>
  <c r="O8" i="5"/>
  <c r="K11" i="5"/>
  <c r="I8" i="5"/>
  <c r="I22" i="5" s="1"/>
  <c r="H33" i="5" s="1"/>
  <c r="E301" i="5"/>
  <c r="E341" i="5"/>
  <c r="M10" i="5"/>
  <c r="M11" i="5" s="1"/>
  <c r="E403" i="5"/>
  <c r="E371" i="5"/>
  <c r="E240" i="5"/>
  <c r="E294" i="5"/>
  <c r="E359" i="5"/>
  <c r="E411" i="5"/>
  <c r="E72" i="5"/>
  <c r="E67" i="5" s="1"/>
  <c r="E422" i="5"/>
  <c r="E385" i="5"/>
  <c r="E429" i="5"/>
  <c r="K8" i="5"/>
  <c r="K22" i="5" s="1"/>
  <c r="E85" i="5"/>
  <c r="E105" i="5"/>
  <c r="L12" i="5"/>
  <c r="K10" i="5"/>
  <c r="P8" i="5"/>
  <c r="O12" i="5"/>
  <c r="L8" i="5"/>
  <c r="L22" i="5" s="1"/>
  <c r="J13" i="5"/>
  <c r="J14" i="5" s="1"/>
  <c r="N21" i="5"/>
  <c r="N22" i="5"/>
  <c r="M12" i="5"/>
  <c r="M13" i="5"/>
  <c r="Q4" i="5"/>
  <c r="M15" i="5"/>
  <c r="H460" i="2"/>
  <c r="E143" i="5" l="1"/>
  <c r="E441" i="5" s="1"/>
  <c r="E322" i="5"/>
  <c r="E379" i="5"/>
  <c r="M8" i="5"/>
  <c r="M22" i="5" s="1"/>
  <c r="K21" i="5"/>
  <c r="I11" i="5"/>
  <c r="J8" i="5"/>
  <c r="J21" i="5" s="1"/>
  <c r="C4" i="3"/>
  <c r="C6" i="3" s="1"/>
  <c r="C5" i="3" s="1"/>
  <c r="E4" i="3"/>
  <c r="E6" i="3" s="1"/>
  <c r="E5" i="3" s="1"/>
  <c r="I4" i="3"/>
  <c r="I6" i="3" s="1"/>
  <c r="I5" i="3" s="1"/>
  <c r="E189" i="2"/>
  <c r="E299" i="2"/>
  <c r="E172" i="2"/>
  <c r="E182" i="2"/>
  <c r="E283" i="2"/>
  <c r="E155" i="2"/>
  <c r="E165" i="2"/>
  <c r="E202" i="2"/>
  <c r="E209" i="2"/>
  <c r="E244" i="2"/>
  <c r="E246" i="2"/>
  <c r="E248" i="2"/>
  <c r="E271" i="2"/>
  <c r="E253" i="2" s="1"/>
  <c r="E410" i="2"/>
  <c r="E412" i="2"/>
  <c r="E428" i="2"/>
  <c r="E459" i="2"/>
  <c r="E458" i="2" s="1"/>
  <c r="E53" i="2"/>
  <c r="E85" i="2"/>
  <c r="E112" i="2"/>
  <c r="E134" i="2"/>
  <c r="I6" i="2" s="1"/>
  <c r="E142" i="2"/>
  <c r="E400" i="2"/>
  <c r="E131" i="2"/>
  <c r="E367" i="2"/>
  <c r="E391" i="2"/>
  <c r="E393" i="2"/>
  <c r="E75" i="2"/>
  <c r="E101" i="2"/>
  <c r="E372" i="2"/>
  <c r="E384" i="2"/>
  <c r="G72" i="1"/>
  <c r="C72" i="1" s="1"/>
  <c r="C69" i="1" s="1"/>
  <c r="I21" i="2"/>
  <c r="E461" i="2"/>
  <c r="K3" i="3"/>
  <c r="J13" i="1"/>
  <c r="E50" i="2"/>
  <c r="D13" i="1" s="1"/>
  <c r="J10" i="1"/>
  <c r="D10" i="1"/>
  <c r="J9" i="1"/>
  <c r="D9" i="1"/>
  <c r="N8" i="2"/>
  <c r="M21" i="2"/>
  <c r="L21" i="2"/>
  <c r="I20" i="2"/>
  <c r="J17" i="2"/>
  <c r="H17" i="2"/>
  <c r="I17" i="2" s="1"/>
  <c r="K15" i="2"/>
  <c r="I15" i="2"/>
  <c r="H15" i="2"/>
  <c r="Q13" i="2"/>
  <c r="E456" i="2"/>
  <c r="E454" i="2"/>
  <c r="E450" i="2"/>
  <c r="E447" i="2"/>
  <c r="E443" i="2"/>
  <c r="E442" i="2" s="1"/>
  <c r="E440" i="2"/>
  <c r="E438" i="2"/>
  <c r="E436" i="2"/>
  <c r="E433" i="2"/>
  <c r="E431" i="2"/>
  <c r="E422" i="2"/>
  <c r="E418" i="2"/>
  <c r="E416" i="2"/>
  <c r="E407" i="2"/>
  <c r="E404" i="2" s="1"/>
  <c r="E397" i="2"/>
  <c r="E369" i="2"/>
  <c r="E362" i="2"/>
  <c r="E350" i="2"/>
  <c r="E349" i="2" s="1"/>
  <c r="E343" i="2"/>
  <c r="E331" i="2"/>
  <c r="E325" i="2"/>
  <c r="E321" i="2"/>
  <c r="E317" i="2"/>
  <c r="E314" i="2"/>
  <c r="E309" i="2"/>
  <c r="E304" i="2"/>
  <c r="E282" i="2" s="1"/>
  <c r="E302" i="2"/>
  <c r="E296" i="2"/>
  <c r="E294" i="2"/>
  <c r="E285" i="2"/>
  <c r="E280" i="2"/>
  <c r="E278" i="2"/>
  <c r="E274" i="2"/>
  <c r="E257" i="2"/>
  <c r="E254" i="2"/>
  <c r="E241" i="2"/>
  <c r="E212" i="2" s="1"/>
  <c r="E198" i="2"/>
  <c r="E195" i="2"/>
  <c r="E179" i="2"/>
  <c r="E168" i="2"/>
  <c r="E163" i="2"/>
  <c r="E151" i="2"/>
  <c r="E138" i="2"/>
  <c r="E125" i="2"/>
  <c r="E115" i="2"/>
  <c r="E103" i="2"/>
  <c r="E96" i="2"/>
  <c r="E88" i="2"/>
  <c r="P6" i="2" s="1"/>
  <c r="E79" i="2"/>
  <c r="E69" i="2"/>
  <c r="E33" i="2"/>
  <c r="F8" i="2"/>
  <c r="C70" i="1"/>
  <c r="C71" i="1"/>
  <c r="C68" i="1"/>
  <c r="C67" i="1"/>
  <c r="C64" i="1"/>
  <c r="C63" i="1"/>
  <c r="C62" i="1"/>
  <c r="C61" i="1"/>
  <c r="C60" i="1"/>
  <c r="C65" i="1"/>
  <c r="C66" i="1"/>
  <c r="C57" i="1"/>
  <c r="C56" i="1"/>
  <c r="C55" i="1"/>
  <c r="C58" i="1"/>
  <c r="C59" i="1"/>
  <c r="C47" i="1"/>
  <c r="C46" i="1"/>
  <c r="C50" i="1"/>
  <c r="C49" i="1"/>
  <c r="C52" i="1"/>
  <c r="C53" i="1"/>
  <c r="C54" i="1"/>
  <c r="C42" i="1"/>
  <c r="C43" i="1"/>
  <c r="C44" i="1"/>
  <c r="C45" i="1"/>
  <c r="C37" i="1"/>
  <c r="C38" i="1"/>
  <c r="C39" i="1"/>
  <c r="C40" i="1"/>
  <c r="C33" i="1"/>
  <c r="C34" i="1"/>
  <c r="C26" i="1"/>
  <c r="C27" i="1"/>
  <c r="C28" i="1"/>
  <c r="C29" i="1"/>
  <c r="C30" i="1"/>
  <c r="C31" i="1"/>
  <c r="C21" i="1"/>
  <c r="C22" i="1"/>
  <c r="C23" i="1"/>
  <c r="C24" i="1"/>
  <c r="C18" i="1"/>
  <c r="C19" i="1"/>
  <c r="C17" i="1"/>
  <c r="C15" i="1"/>
  <c r="C14" i="1"/>
  <c r="C11" i="1"/>
  <c r="C12" i="1"/>
  <c r="E4" i="1"/>
  <c r="E5" i="1"/>
  <c r="F4" i="1"/>
  <c r="F5" i="1"/>
  <c r="H4" i="1"/>
  <c r="H5" i="1"/>
  <c r="I4" i="1"/>
  <c r="I5" i="1"/>
  <c r="K4" i="1"/>
  <c r="K5" i="1"/>
  <c r="C51" i="1"/>
  <c r="C48" i="1"/>
  <c r="C36" i="1"/>
  <c r="C41" i="1"/>
  <c r="C16" i="1"/>
  <c r="C32" i="1"/>
  <c r="C20" i="1"/>
  <c r="C25" i="1"/>
  <c r="C35" i="1"/>
  <c r="E153" i="2" l="1"/>
  <c r="M6" i="2"/>
  <c r="J6" i="2"/>
  <c r="E78" i="2"/>
  <c r="E74" i="2" s="1"/>
  <c r="K6" i="2"/>
  <c r="E348" i="2"/>
  <c r="E427" i="2"/>
  <c r="E141" i="2"/>
  <c r="E395" i="2"/>
  <c r="E383" i="2"/>
  <c r="E347" i="2" s="1"/>
  <c r="E91" i="2"/>
  <c r="C13" i="1"/>
  <c r="J4" i="1"/>
  <c r="J5" i="1" s="1"/>
  <c r="O12" i="2"/>
  <c r="I13" i="5"/>
  <c r="C10" i="1"/>
  <c r="E111" i="2"/>
  <c r="E4" i="2" s="1"/>
  <c r="K8" i="2"/>
  <c r="E366" i="2"/>
  <c r="C9" i="1"/>
  <c r="D4" i="1"/>
  <c r="D5" i="1" s="1"/>
  <c r="L8" i="2"/>
  <c r="L22" i="2" s="1"/>
  <c r="I8" i="2"/>
  <c r="I22" i="2" s="1"/>
  <c r="P8" i="2"/>
  <c r="L12" i="2"/>
  <c r="O8" i="2"/>
  <c r="B4" i="3"/>
  <c r="H4" i="3"/>
  <c r="H6" i="3" s="1"/>
  <c r="H5" i="3" s="1"/>
  <c r="M15" i="2"/>
  <c r="E442" i="5"/>
  <c r="J22" i="5"/>
  <c r="J12" i="5"/>
  <c r="S6" i="5"/>
  <c r="M12" i="2"/>
  <c r="G4" i="3"/>
  <c r="G6" i="3" s="1"/>
  <c r="G5" i="3" s="1"/>
  <c r="E435" i="2"/>
  <c r="E446" i="2"/>
  <c r="E409" i="2"/>
  <c r="G4" i="1"/>
  <c r="G5" i="1" s="1"/>
  <c r="N22" i="2"/>
  <c r="N21" i="2"/>
  <c r="K10" i="2"/>
  <c r="M13" i="2"/>
  <c r="J13" i="2"/>
  <c r="J14" i="2" s="1"/>
  <c r="E465" i="2" l="1"/>
  <c r="E466" i="2" s="1"/>
  <c r="M8" i="2"/>
  <c r="M22" i="2" s="1"/>
  <c r="Q6" i="2"/>
  <c r="I10" i="2" s="1"/>
  <c r="I11" i="2" s="1"/>
  <c r="C8" i="1"/>
  <c r="C7" i="1" s="1"/>
  <c r="K11" i="2"/>
  <c r="J8" i="2"/>
  <c r="J4" i="3"/>
  <c r="J6" i="3" s="1"/>
  <c r="J5" i="3" s="1"/>
  <c r="B6" i="3"/>
  <c r="B5" i="3" s="1"/>
  <c r="K4" i="3"/>
  <c r="K6" i="3" s="1"/>
  <c r="K5" i="3" s="1"/>
  <c r="M10" i="2"/>
  <c r="M11" i="2" s="1"/>
  <c r="K22" i="2"/>
  <c r="K21" i="2"/>
  <c r="I13" i="2" l="1"/>
  <c r="J22" i="2"/>
  <c r="J21" i="2"/>
  <c r="J12" i="2"/>
  <c r="Q7" i="2"/>
  <c r="S6" i="2" s="1"/>
  <c r="E6" i="13"/>
  <c r="E5" i="13"/>
  <c r="F8" i="13"/>
  <c r="Q6" i="13"/>
  <c r="I10" i="13" s="1"/>
  <c r="I11" i="13" s="1"/>
  <c r="E4" i="13" l="1"/>
  <c r="E471" i="13" s="1"/>
  <c r="E472" i="13" s="1"/>
  <c r="I12" i="13"/>
  <c r="Q7" i="13"/>
  <c r="I8" i="13"/>
  <c r="J12" i="13" l="1"/>
  <c r="I13" i="13"/>
  <c r="I21" i="13"/>
  <c r="I22" i="13"/>
  <c r="L29" i="13" s="1"/>
</calcChain>
</file>

<file path=xl/comments1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2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42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comments10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26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6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comments11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22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54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comments12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22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54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comments2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2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43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comments3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2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42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comments4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2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41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comments5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2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4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comments6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16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2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comments7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2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63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comments8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2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63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comments9.xml><?xml version="1.0" encoding="utf-8"?>
<comments xmlns="http://schemas.openxmlformats.org/spreadsheetml/2006/main">
  <authors>
    <author>PACUNG 03</author>
    <author>IPACUNG</author>
  </authors>
  <commentList>
    <comment ref="P5" authorId="0" shapeId="0">
      <text>
        <r>
          <rPr>
            <b/>
            <sz val="9"/>
            <color indexed="81"/>
            <rFont val="Tahoma"/>
            <family val="2"/>
          </rPr>
          <t>PACUNG 03:</t>
        </r>
        <r>
          <rPr>
            <sz val="9"/>
            <color indexed="81"/>
            <rFont val="Tahoma"/>
            <family val="2"/>
          </rPr>
          <t xml:space="preserve">
BLM ADA KEG
</t>
        </r>
      </text>
    </comment>
    <comment ref="Q18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non DD,BKK</t>
        </r>
      </text>
    </comment>
    <comment ref="Q1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DD</t>
        </r>
      </text>
    </comment>
    <comment ref="Q20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DD,SiLPA DD</t>
        </r>
      </text>
    </comment>
    <comment ref="E129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KETUA 2.500.000
SEK 1.500.000
ANGG 1.000.000</t>
        </r>
      </text>
    </comment>
    <comment ref="F363" authorId="1" shapeId="0">
      <text>
        <r>
          <rPr>
            <b/>
            <sz val="9"/>
            <color indexed="81"/>
            <rFont val="Tahoma"/>
            <family val="2"/>
          </rPr>
          <t>IPACUNG:</t>
        </r>
        <r>
          <rPr>
            <sz val="9"/>
            <color indexed="81"/>
            <rFont val="Tahoma"/>
            <family val="2"/>
          </rPr>
          <t xml:space="preserve">
SiLPA JAGIR = 4.250.000
JAGIR =7.000.000</t>
        </r>
      </text>
    </comment>
  </commentList>
</comments>
</file>

<file path=xl/sharedStrings.xml><?xml version="1.0" encoding="utf-8"?>
<sst xmlns="http://schemas.openxmlformats.org/spreadsheetml/2006/main" count="10802" uniqueCount="680">
  <si>
    <t>ADD</t>
  </si>
  <si>
    <t>BHP</t>
  </si>
  <si>
    <t>BHR</t>
  </si>
  <si>
    <t>DD</t>
  </si>
  <si>
    <t>BKK</t>
  </si>
  <si>
    <t>BKP</t>
  </si>
  <si>
    <t>PAD</t>
  </si>
  <si>
    <t>Pendapatan</t>
  </si>
  <si>
    <t>Belanja</t>
  </si>
  <si>
    <t>DLL</t>
  </si>
  <si>
    <t>KEGIATAN</t>
  </si>
  <si>
    <t>Selisih</t>
  </si>
  <si>
    <t>Jumlah</t>
  </si>
  <si>
    <t>Penyediaan Jaminan Sosial bagi Kepala Desa dan Perangkat Desa</t>
  </si>
  <si>
    <t>Penyediaan Penghasilan Tetap dan Tunjangan Perangkat Desa</t>
  </si>
  <si>
    <t>Penyediaan Penghasilan Tetap dan Tunjangan Kepala Desa</t>
  </si>
  <si>
    <t>Penyediaan Operasional Perkantoran Desa</t>
  </si>
  <si>
    <t>Penyediaan Tunjangan BPD</t>
  </si>
  <si>
    <t>Penyediaan Operasional BPD</t>
  </si>
  <si>
    <t>Tambahan Penghasilan Perbekel dari BKK Propinsi Bali</t>
  </si>
  <si>
    <t>Sub Bidang Penyelenggaraan Belanja Penghasilan Tetap, Tunjangan dan Operasional Pemerintahan Desa ( Maksimal 30 % )</t>
  </si>
  <si>
    <t>BIDANG PENYELENGGARAAN PEMERINTAHAN DESA</t>
  </si>
  <si>
    <t>Penyediaan Sarana (Aset Tetap) Perkantoran</t>
  </si>
  <si>
    <t>Pemeliharaan Gedung/Prasarana Kantor Desa</t>
  </si>
  <si>
    <t>Pembangunan / Rehabilitasi / Peningkatan Gedung / Prasarana Kantor Desa</t>
  </si>
  <si>
    <t>SUB Bidang Sarana dan Prasarana Pemerintahan Desa</t>
  </si>
  <si>
    <t>Sub Bidang Administrasi Kependudukan, Pencatatan Sipil, Statistik dan Kearsipan</t>
  </si>
  <si>
    <t xml:space="preserve">Pelayanan administrasi umum dan kependudukan </t>
  </si>
  <si>
    <t xml:space="preserve">Penyusunan / Pendataan/Pemutakhiran Profil Desa  </t>
  </si>
  <si>
    <t>Pengelolaan administrasi dan kearsipan Pemerintahan Desa</t>
  </si>
  <si>
    <t>Pemetaan dan analisis kemiskinan Desa secara partisipatif</t>
  </si>
  <si>
    <t>Sub Bidang Tata Praja Pemerintahan , Perencanaan, Keuangan dan Pelaporan</t>
  </si>
  <si>
    <t>Penyelenggaraan Musyawarah Perencanaan Desa/ Pembahasan APBDesa</t>
  </si>
  <si>
    <t>Penyelenggaraan Musyawarah Desa Lainnya</t>
  </si>
  <si>
    <t>Penyusunan Dokumen Perencanaan Desa (RPJMDesa/ RKPDesa,dll)</t>
  </si>
  <si>
    <t>Penyusunan Dokumen Keuangan Desa</t>
  </si>
  <si>
    <t>Penyusunan Laporan Kepala Desa / Penyelenggaraan Pemerintah Desa</t>
  </si>
  <si>
    <t>Pengembangan Sistem Informasi Desa</t>
  </si>
  <si>
    <t>Sub Bidang Pertanahan</t>
  </si>
  <si>
    <t>Fasilitasi Sertifikasi Tanah untuk Masyarakat Miskin</t>
  </si>
  <si>
    <t>Administrasi Pajak Bumi dan Bangunan (PBB)</t>
  </si>
  <si>
    <t>BIDANG PELAKSANAAN PEMBANGUNAN DESA</t>
  </si>
  <si>
    <t>Sub Bidang Pendidikan</t>
  </si>
  <si>
    <t>Penyelenggaraan PAUD/ TK/TPA/TKA/TPQ/ Madrasah Non-Formal Milik Desa</t>
  </si>
  <si>
    <t>Pemeliharaan Sarana dan Prasarana Perpustakaan / Taman Bacaan Desa / Sanggar Belajar Milik Desa</t>
  </si>
  <si>
    <t>Pemeliharaan Sarana dan Prasarana PAUD / TK / TPA /TKA /TPQ / Madrasah Non-Formal Milik Desa</t>
  </si>
  <si>
    <t>Pengelolaan Perpustakaan Milik Desa</t>
  </si>
  <si>
    <t>Sub Bidang Kesehatan</t>
  </si>
  <si>
    <t xml:space="preserve">Penyelenggaraan Posyandu </t>
  </si>
  <si>
    <t>Penyuluhan dan Pelatihan Bidang Kesehatan</t>
  </si>
  <si>
    <t>Penyelenggaraan Desa Siaga Kesehatan</t>
  </si>
  <si>
    <t xml:space="preserve">Pengasuhan Bersama atau Bina keluarga Balita </t>
  </si>
  <si>
    <t>Sub Bidang Perhubungan,Komunikasi,dan Informatika</t>
  </si>
  <si>
    <t>Penyelenggaraan Informasi Publik Desa (Pembuatan Poster/Baliho Informasi Penetapan/LPJ APBDes untuk Warga,dll)</t>
  </si>
  <si>
    <t>BIDANG PEMBINAAN KEMASYARAKATAN DESA</t>
  </si>
  <si>
    <t>Sub Bidang Ketentraman,Ketertiban Umum, dan Perlindungan Masyarakat</t>
  </si>
  <si>
    <t>Sub Bidang Kebudayaan dan Keagamaan</t>
  </si>
  <si>
    <t>Pembinaan Group Kesenian dan Kebudayaan Tingkat Desa</t>
  </si>
  <si>
    <t>Pengiriman Kontingen Group Kesenian dan Kebudayaan Sebagai Wakil Desa di Tingkat Kecamatan dan Kabupaten / Kota</t>
  </si>
  <si>
    <t>Penyelenggaraan Festival Kesenian, Adat / Kebudayaan , dan Keagamaan  Tngkat Desa</t>
  </si>
  <si>
    <t>Pengadaan/Penyelenggaraan Pos Keamanan Desa</t>
  </si>
  <si>
    <t>Sub Bidang Kepemudaan dan Olah Raga</t>
  </si>
  <si>
    <t>Pengiriman Kontingen Kepemudaan dan Olah Raga Sebagai Wakil Desa di Tingkat Kecamatan dan Kabupaten/ Kota</t>
  </si>
  <si>
    <t>Sub Bidang Kelembagaan Masyarakat</t>
  </si>
  <si>
    <t>Pembinaan LKMD/LPM/LPMD</t>
  </si>
  <si>
    <t>Pembinaan PKK</t>
  </si>
  <si>
    <t>BIDANG PEMBERDAYAAN MASYARAKAT DESA</t>
  </si>
  <si>
    <t>Sub Bidang Pertanian dan Peternakan</t>
  </si>
  <si>
    <t>Peningkatan Produksi Peternakan (Alat Produksi dan pengolahan peternakan, kandang, dll)</t>
  </si>
  <si>
    <t>Sub Bidang Peningkatan Kapasitas Aparatur Desa</t>
  </si>
  <si>
    <t>Peningkatan Kapasitas Kepala Desa</t>
  </si>
  <si>
    <t>Peningkatan Kapasitas Perangkat Desa</t>
  </si>
  <si>
    <t>Peningkatan Kapasitas BPD</t>
  </si>
  <si>
    <t>Sub Bidang Pemberdayaan Perempuan, Perlindungan Anak dan Keluarga</t>
  </si>
  <si>
    <t>Pelatihan/Penyuluhan Pemberdayaan Perempuan</t>
  </si>
  <si>
    <t>BIDANG PENANGGULANGAN BENCANA, KEADAAN DARURAT DAN MENDESAK</t>
  </si>
  <si>
    <t>Sub Bidang Penanggulangan Bencana</t>
  </si>
  <si>
    <t>Sub Bidang Keadaan Darurat</t>
  </si>
  <si>
    <t>Sub Bidang Keadaan Mendesak</t>
  </si>
  <si>
    <t>RENCANA KEGIATAN 2023</t>
  </si>
  <si>
    <t>Sumber Dana</t>
  </si>
  <si>
    <t>RANCANGAN PROGRAM KEGIATAN APB DESA PACUNG TAHUN 2023</t>
  </si>
  <si>
    <t>Kode Rekening</t>
  </si>
  <si>
    <t>BIDANG,SUB BIDANG dan KEGIATAN</t>
  </si>
  <si>
    <t xml:space="preserve">Jumlah </t>
  </si>
  <si>
    <t>01</t>
  </si>
  <si>
    <t>01.Penghasilan Tetap Perbekel (4.273.383/Bln)</t>
  </si>
  <si>
    <t>02.Tunjangan Perbekel (1.900.000/Bln)</t>
  </si>
  <si>
    <t>03.Tunjangan Kinerja Perbekel</t>
  </si>
  <si>
    <t>02</t>
  </si>
  <si>
    <t>ADD,PAD</t>
  </si>
  <si>
    <t>01.Penghasilan Tetap Sekdes (2.991.368/Bln)</t>
  </si>
  <si>
    <t>02.Tunjangan Sekdes (1.400.000/Bln)</t>
  </si>
  <si>
    <t>03.Tunjangan Kinerja Sekdes</t>
  </si>
  <si>
    <t>04.Penghasilan Tetap 9 Org Perangkat (2.136.692/Bln)</t>
  </si>
  <si>
    <t>05.Penghasilan Tetap 9 Org Perangkat</t>
  </si>
  <si>
    <t>06.Tunjangan 9 Org Perangkat (1.000.000/Bln)</t>
  </si>
  <si>
    <t>06.Tunjangan Kinerja 9 Org Perangkat</t>
  </si>
  <si>
    <t>03</t>
  </si>
  <si>
    <t>BPJS Kesehatan Perbekel</t>
  </si>
  <si>
    <t>BPJS Hari Tua Perbekel</t>
  </si>
  <si>
    <t>BPJS Pensiun Perbekel</t>
  </si>
  <si>
    <t>BPJS Kematian Perbekel</t>
  </si>
  <si>
    <t>BPJS Kecelakaan Kerja Perbekel</t>
  </si>
  <si>
    <t>BPJS Kesehatan Perangkat Desa</t>
  </si>
  <si>
    <t>BPJS Hari Tua Perangkat Desa</t>
  </si>
  <si>
    <t>BPJS Pensiun Perangkat Desa</t>
  </si>
  <si>
    <t>BPJS Kematian  Perangkat Desa</t>
  </si>
  <si>
    <t>BPJS Kecelakaan Kerja Perangkat Desa</t>
  </si>
  <si>
    <t>04</t>
  </si>
  <si>
    <t>Belanja Langganan Listrik</t>
  </si>
  <si>
    <t>SiLPA ADD</t>
  </si>
  <si>
    <t>Belanja Alat Tulis Kantor dan Benda Pos</t>
  </si>
  <si>
    <t>Belanja Langganan Air Bersih</t>
  </si>
  <si>
    <t>Belanja Jasa Kurir/Pos/Giro (Belanja Cek)</t>
  </si>
  <si>
    <t>Belanja Jasa Surat Kabar</t>
  </si>
  <si>
    <t>Belanja Photocopy / Cetak dan Penggandaan</t>
  </si>
  <si>
    <t>Belanja Bahan Bakar minyak dan Gas</t>
  </si>
  <si>
    <t>Belanja Perjalanan Dinas</t>
  </si>
  <si>
    <t>Belanja Sesajen</t>
  </si>
  <si>
    <t xml:space="preserve">Belanja Honorarium PKPKD dan PPKD </t>
  </si>
  <si>
    <t>Belanja Pakaian Dinas (675,000)</t>
  </si>
  <si>
    <t>05</t>
  </si>
  <si>
    <t>01.Tunjangan Kedudukan BPD</t>
  </si>
  <si>
    <t>02.Tunjangan Kinerja BPD</t>
  </si>
  <si>
    <t>06</t>
  </si>
  <si>
    <t>Belanja Alat Tulis Kantor</t>
  </si>
  <si>
    <t>Sarpras Kantor</t>
  </si>
  <si>
    <t>Konsumsi Rapat</t>
  </si>
  <si>
    <t>Perjalanan Dinas</t>
  </si>
  <si>
    <t>91</t>
  </si>
  <si>
    <t>BKK Prop</t>
  </si>
  <si>
    <t xml:space="preserve">Pengadaan 1 Unit Komputer PC Built Up </t>
  </si>
  <si>
    <t>BHP,BHR,ADD,PAD</t>
  </si>
  <si>
    <t>Belanja Pemeliharaan  Kendaraan Bermotor</t>
  </si>
  <si>
    <t>BHP,PAD</t>
  </si>
  <si>
    <t>-Service Kendaraan Dinas</t>
  </si>
  <si>
    <t>-Samsat Kendaraan Dinas</t>
  </si>
  <si>
    <t>Belanja alat-alat Kebersihan dan Bahan Pembersih</t>
  </si>
  <si>
    <t>Belanja Jasa Honorarium Petugas Kebersihan</t>
  </si>
  <si>
    <t>Belanja Pemeliharaan Mesin dan Peralatan Berat</t>
  </si>
  <si>
    <t>-Pemeliharaan Printer</t>
  </si>
  <si>
    <t>-Pemeliharaan Komputer/Laptop</t>
  </si>
  <si>
    <t>Rehabilitasi Lanjutan Gedung Kantor Desa</t>
  </si>
  <si>
    <t>ATK</t>
  </si>
  <si>
    <t>Foto Copy</t>
  </si>
  <si>
    <t>Cetak Buku Profil Desa</t>
  </si>
  <si>
    <t>Pemutakhiran Data SDGs Desa/Pendataan</t>
  </si>
  <si>
    <t>Pendataan Warga Miskin (ATK &amp; Foto Copy)</t>
  </si>
  <si>
    <t xml:space="preserve">ATK </t>
  </si>
  <si>
    <t>Honorarium Narasumber</t>
  </si>
  <si>
    <t>Foto Copy dan Jilid</t>
  </si>
  <si>
    <t>Photo Copy dan Jilid</t>
  </si>
  <si>
    <t>Honor Tim Penyusun RKPDesa</t>
  </si>
  <si>
    <t>Honor Tim Verifikasi RKPDesa</t>
  </si>
  <si>
    <t>Honor KPMD</t>
  </si>
  <si>
    <t>ADD,BHR</t>
  </si>
  <si>
    <t>Jasa Upah Tenaga Kerja  Administrasi Keuangan Desa</t>
  </si>
  <si>
    <t>Photo Copy Jilid</t>
  </si>
  <si>
    <t>07</t>
  </si>
  <si>
    <t>08</t>
  </si>
  <si>
    <t>Belanja Jasa Layanan Internet</t>
  </si>
  <si>
    <t>Jasa Honorarium Operator Desa</t>
  </si>
  <si>
    <t>11</t>
  </si>
  <si>
    <t>Penyelenggaraan Lomba antar kewilayahan dan pengiriman kontingen dalam mengikuti Lomba Desa</t>
  </si>
  <si>
    <t>Penyelenggaraan Lomba Desa</t>
  </si>
  <si>
    <t>Fotocopy</t>
  </si>
  <si>
    <t>Foto copy</t>
  </si>
  <si>
    <t>Penentuan/Penegasan/Pembangunan Batas/Patok Tanah Desa</t>
  </si>
  <si>
    <t>BHR,SiLPA BHR</t>
  </si>
  <si>
    <t>Pembuatan Patok Tanda Batas Desa</t>
  </si>
  <si>
    <t>Honor Kepala TK</t>
  </si>
  <si>
    <t>Honor Guru Bantu</t>
  </si>
  <si>
    <t>Belanja langganan Listrik</t>
  </si>
  <si>
    <t>Belanja langganan Air Bersih</t>
  </si>
  <si>
    <t>Dukungan Penyelenggaraan PAUD (APE,Sarana PAUD, dst)</t>
  </si>
  <si>
    <t>Penyuluhan dan Pelatihan Pendidikan Bagi Masyarakat</t>
  </si>
  <si>
    <t>Pelatihan Komputer dan Bahasa Inggris untuk Anak-Anak</t>
  </si>
  <si>
    <t>Pemeliharaan Gedung dan Peralatan Perpustakaan</t>
  </si>
  <si>
    <t>Pemeliharaan APE</t>
  </si>
  <si>
    <t>Pengadaan Alat Kebersihan</t>
  </si>
  <si>
    <t>Insentif Petugas Kebersihan</t>
  </si>
  <si>
    <t>Pembangunan / Rehabilitasi/ Peningkatan/ Pengadaan Sarana / Prasarana/ Alat Peraga Edukatif (APE) PAUD/TK/TPA/TKA/TPQ/ Madrasah Non-Formal Milik Desa</t>
  </si>
  <si>
    <t>Papan Nama TK</t>
  </si>
  <si>
    <t>Pintu Pagar TK</t>
  </si>
  <si>
    <t>Pengadaan Wireless Sound System</t>
  </si>
  <si>
    <t>Gorden Jendela</t>
  </si>
  <si>
    <t>Kipas Angin, Lampu</t>
  </si>
  <si>
    <t>Pembangunan /Rehabilitasi/ Peningkatan Sarana Prasarana Perpustakaan / Taman Bacaan Desa/ Sanggar Belajar Milik Desa</t>
  </si>
  <si>
    <t>Rak Buku (Rak Besi)</t>
  </si>
  <si>
    <t>Jaringan Internet</t>
  </si>
  <si>
    <t>Honor 2 Org Petugas Perpustakaan</t>
  </si>
  <si>
    <t>Canang Harian dan Banten Purnama Tilem</t>
  </si>
  <si>
    <t>Alat dan Bahan Kebersihan</t>
  </si>
  <si>
    <t>Jasa Langganan Internet</t>
  </si>
  <si>
    <t>Jasa Langganan Listrik</t>
  </si>
  <si>
    <t>09</t>
  </si>
  <si>
    <t>Pengembangan dan Pembinaan Sanggar Seni dan Belajar</t>
  </si>
  <si>
    <t>Pembinaan Sanggar Seni dan Belajar</t>
  </si>
  <si>
    <t>10</t>
  </si>
  <si>
    <t>Dukungan Pendidikan bagi Siswa Miskin/Berprestasi</t>
  </si>
  <si>
    <t>Pemberian Bantuan Bagi Siswa Miskin/Berprestasi</t>
  </si>
  <si>
    <t>Penyelenggaraan Poskesdes/Polindes Milik Desa</t>
  </si>
  <si>
    <t>Penyediaan Obat - Obatan</t>
  </si>
  <si>
    <t>Penyediaan Alkes</t>
  </si>
  <si>
    <t>Insentif 1 Orang Bidan Desa</t>
  </si>
  <si>
    <t>Pemberian PMT Balita dan Lansia</t>
  </si>
  <si>
    <t>Pemeliharaan dan Pengadaan Sarana Prasarana Posyandu</t>
  </si>
  <si>
    <t>- Pemeliharaan Sarana Prasarana Posyandu</t>
  </si>
  <si>
    <t>-ATK</t>
  </si>
  <si>
    <t>insentif Kader KPM</t>
  </si>
  <si>
    <t>Insentif Kader Posyandu dan Lansia</t>
  </si>
  <si>
    <t>Kegiatan Rembug Stunting</t>
  </si>
  <si>
    <t>Penyuluhan dan Pelatihan Kader/Tenaga Kesehatan</t>
  </si>
  <si>
    <t>Edukasi dan sosialisasi pencegahan dan penanganan Pandemi Covid-19</t>
  </si>
  <si>
    <t>-Foto copy dan cetak banner</t>
  </si>
  <si>
    <t>-Konsumsi sosialisasi</t>
  </si>
  <si>
    <t>-Honorarium petugas/pembantu petugas</t>
  </si>
  <si>
    <t>Dukungan Pelaksanaan 3T</t>
  </si>
  <si>
    <t>-Konsumsi petugas</t>
  </si>
  <si>
    <t>-Honor Petugas</t>
  </si>
  <si>
    <t>-Sewa sarana mobilitas</t>
  </si>
  <si>
    <t>Pengadaan Masker</t>
  </si>
  <si>
    <t>Pengadaan APD</t>
  </si>
  <si>
    <t>Pengadaan Obat-obatan dan vitamin</t>
  </si>
  <si>
    <t>Pengadaan disinfektan</t>
  </si>
  <si>
    <t>Pelaksanaan Penyemprotan Disinfektan</t>
  </si>
  <si>
    <t>-Konsumsi</t>
  </si>
  <si>
    <t>-Bahan bakar mesin</t>
  </si>
  <si>
    <t>-Honor petugas</t>
  </si>
  <si>
    <t>-Alat semprot</t>
  </si>
  <si>
    <t>Penyediaan ruang isolasi/ karantina untuk yang terpapar Covid - 19</t>
  </si>
  <si>
    <t>-Sewa tempat isolasi</t>
  </si>
  <si>
    <t>-Pengadaan sarana prasarana ruang isolasi</t>
  </si>
  <si>
    <t>Dukungan Sekretariat Satgas</t>
  </si>
  <si>
    <t>-Perlengkapan Posko</t>
  </si>
  <si>
    <t>-Konsumsi Satgas</t>
  </si>
  <si>
    <t>Penyediaan makan dan minum bagi Tim Posko Desa dan warga yang dalam perawatan</t>
  </si>
  <si>
    <t>Penyiapan Tempat Cuci Tangan  dan / atau Cairan Pembersih Tangan (Hand Sanitizer)</t>
  </si>
  <si>
    <t>Penanganan Stunting</t>
  </si>
  <si>
    <t>Insentif Kader BKB</t>
  </si>
  <si>
    <t>Pemeliharaan Sarana/Prasarana Posyandu/Polindes/PKD</t>
  </si>
  <si>
    <t>Pembangunan/Rehabilitasi/Peningkatan/Pengadaan Sarana Prasarana Posyandu/Polindes/PKD</t>
  </si>
  <si>
    <t>Pengadaan Sarana Prasarana Posyandu</t>
  </si>
  <si>
    <t>Sub Bidang Pekerjaan Umum dan Penataan Ruang</t>
  </si>
  <si>
    <t>Pemeliharaan Jalan Desa</t>
  </si>
  <si>
    <t>Pemeliharaan Lampu Penerangan Jalan Desa BD.Kubuanyar (LPJU Tenaga Surya)</t>
  </si>
  <si>
    <t>Pemeliharaan Jalan Lingkungan Permukiman /Gang</t>
  </si>
  <si>
    <t>Pemeliharaan Jalan Usaha Tani</t>
  </si>
  <si>
    <t>Rehabilitasi Rabat Beton (Pengangkatan) Jalan Usaha Tani di Banjar Dungdung Barat BD Anta Sari</t>
  </si>
  <si>
    <t>Pemeliharaan Prasarana Jalan Desa (Gorong gorong,Selokan)</t>
  </si>
  <si>
    <t>Pembangunan/Rehabilitasi/Peningkatan/Pengerasan Jalan Desa</t>
  </si>
  <si>
    <t>Pembangunan/Rehabilitasi/Peningkatan/Pengerasan Jalan Lingkungan Permukiman/Gang</t>
  </si>
  <si>
    <t>Pengerasan Jalan Lingkungan Permukiman Kampung Baru</t>
  </si>
  <si>
    <t>12</t>
  </si>
  <si>
    <t>Pembangunan/Rehabilitasi/Peningkatan/Pengerasan Jalan Usaha Tani</t>
  </si>
  <si>
    <t>Pembangunan Rabat Beton Jalan Usaha Tani Br.Pule</t>
  </si>
  <si>
    <t>14</t>
  </si>
  <si>
    <t>Pembangunan/Rehabilitasi/Peningkatan Prasarana Jalan Desa (Gorong gorong,Selokan,Box/Slab Culvert,Drainase,Prasarana Jalan Lain)</t>
  </si>
  <si>
    <t>Pengadaan Sarana Lampu Penerangan Jalan Desa BD.Kubuanyar (LPJU Tenaga Surya)</t>
  </si>
  <si>
    <t>Senderan Jalan menuju Pokmaswas</t>
  </si>
  <si>
    <t>15</t>
  </si>
  <si>
    <t>Pembangunan/Rehabilitasi/Peningkatan Balai Desa/Balai Kemasyarakatan</t>
  </si>
  <si>
    <t>Pembangunan Senderan dan Penataan Lingkungan Balai Serbaguna BD Anta Sari</t>
  </si>
  <si>
    <t>16</t>
  </si>
  <si>
    <t>Pembangunan/Rehabilitasi/Peningkatan Pemakaman Milik Desa</t>
  </si>
  <si>
    <t>Pembangunan Penyengker Kuburan Muslim</t>
  </si>
  <si>
    <t>Sub Bidang Kawasan Pemukiman</t>
  </si>
  <si>
    <t>Dukungan Pelaksanaan Program Pembangunan /Rehab Rumah Tidak Layak Huni (RTLH) GAKIN</t>
  </si>
  <si>
    <t>Pemberian Bantuan Dukungan Pembangunan Bedah Rumah 4 Unit</t>
  </si>
  <si>
    <t>Pemeliharaan Sumber Air Bersih Milik Desa</t>
  </si>
  <si>
    <t>Pemeriksaan Sampel Air Bersih Pada Laboratorium</t>
  </si>
  <si>
    <t>Pemeliharaan Fasilitas Pengelolaan Sampah Desa/Pemukiman</t>
  </si>
  <si>
    <t>Insentif 3 orang petugas pengelola sampah</t>
  </si>
  <si>
    <t>Upah 2 Orang Petugas Pengangkut Sampah</t>
  </si>
  <si>
    <t>Upah 1 Orang Direktur Operasional</t>
  </si>
  <si>
    <t>Upah 1 Orang Petugas Penimbang dan Pencatat</t>
  </si>
  <si>
    <t>Upah 2 Orang Petugas Pemilah</t>
  </si>
  <si>
    <t>Pengadaan 1 Unit Kendaraan Angkut Sampah Roda Tiga</t>
  </si>
  <si>
    <t>Pembuatan Tempat Sampah Rumah Tangga</t>
  </si>
  <si>
    <t>Pemeliharaan Sistem Pembuangan Air Limbah</t>
  </si>
  <si>
    <t>Penataan Saluran Got Permukiman BD.Kubuanyar</t>
  </si>
  <si>
    <t>Pembangunan/Rehabilitasi/Peningkatan Sumber Air Bersih Milik Desa</t>
  </si>
  <si>
    <t>Peningkatan Sarana Air Bersih (PAMSIMAS)</t>
  </si>
  <si>
    <t>Pembangunan/Rehabilitasi/Peningkatan Sambungan Air Bersih ke Rumah Tangga (pipanisasi, dll) **</t>
  </si>
  <si>
    <t>Peningkatan Sambungan (Pipanisasi) Air Bersih BD. Anta Sari</t>
  </si>
  <si>
    <t>13</t>
  </si>
  <si>
    <t>Pembangunan/Rehabilitasi/Peningkatan Sanitasi Permukiman</t>
  </si>
  <si>
    <t>Pembangunan/Rehabilitasi/Peningkatan Fasilitasi Jamban Umum /MCK Umum</t>
  </si>
  <si>
    <t>Pembangunan Jamban Umum/MCK Umum di BD. Kubuanyar</t>
  </si>
  <si>
    <t>Pembangunan/Rehabilitasi/Peningkatan fasilitas Pengelolaan Sampah Desa/Permukiman</t>
  </si>
  <si>
    <t>Pekerjaan persiapan untuk pembangunan TPST 3R (PKTD)</t>
  </si>
  <si>
    <t xml:space="preserve">Pembangunan/Rehabilitasi/Peningkatan Sistem Pembuangan Air Limbah </t>
  </si>
  <si>
    <t>Pembangunan Septik Tank Air Limbah di BD Kubuanyar</t>
  </si>
  <si>
    <t>Sub Bidang Kehutanan dan Lingkungan Hidup</t>
  </si>
  <si>
    <t>Pengelolaan Lingkungan Hidup Desa</t>
  </si>
  <si>
    <t>Kegiatan Bersih-bersih Lingkungan</t>
  </si>
  <si>
    <t>Kegiatan Penanaman Pohon</t>
  </si>
  <si>
    <t>Pelatihan/Sosialisasi/Penyuluhan/Penyadaran tentang Lingkungan Hidup dan Kehutanan</t>
  </si>
  <si>
    <t>Sosialisasi Pengelolaan Sampah Berbasis Sumber</t>
  </si>
  <si>
    <t>Pembuatan Rambu-rambu di Jalan Desa</t>
  </si>
  <si>
    <t>Pembuatan Papan Nama Jalan Desa</t>
  </si>
  <si>
    <t>Pengadaan Cermin Cembung Lalu Lintas</t>
  </si>
  <si>
    <t>Pembuatan Papan Penunjuk Arah Lokasi Kantor Desa</t>
  </si>
  <si>
    <t>ADD,DD</t>
  </si>
  <si>
    <t>Pengadaan Baliho / Papan Informasi Publik</t>
  </si>
  <si>
    <t>Pengadaan Rangka Baliho/Papan Informasi</t>
  </si>
  <si>
    <t>Pengelolaan dan Pembuatan Jaringan/Instalasi Komunikasi dan Informasi Lokal Desa</t>
  </si>
  <si>
    <t>Pengadaan 1 Unit Komputer PC Built Up</t>
  </si>
  <si>
    <t>Pengadaan Jaringan Internet di tempat - tempat publik</t>
  </si>
  <si>
    <t>Sub BidangEnergi dan Sumber Daya Mineral</t>
  </si>
  <si>
    <t>Sub Bidang Pariwisata</t>
  </si>
  <si>
    <t>Pemeliharaan Sarana dan Prasarana Pariwisata Milik Desa</t>
  </si>
  <si>
    <t>Pembangunan/Rehabilitasi/Peningkatan Sarana dan Prasarana Pariwisata Milik Desa</t>
  </si>
  <si>
    <t xml:space="preserve">Pengembangan Pariwisata Tingkat Desa </t>
  </si>
  <si>
    <t>Kegiatan Monitoring dan Konservasi Terumbu Karang</t>
  </si>
  <si>
    <t>DLL/SPK</t>
  </si>
  <si>
    <t>Kegiatan Posko Desa Pelaksanaan PPKM</t>
  </si>
  <si>
    <t>Konsumsi Kegiatan jaga Posko Desa PPKM</t>
  </si>
  <si>
    <t>Honor Jaga kegiatan jaga Posko Desa PPKM</t>
  </si>
  <si>
    <t>Kegiatan Rutin Linmas</t>
  </si>
  <si>
    <t>Honor Jaga Kegiatan rutin Linmas</t>
  </si>
  <si>
    <t>Konsumsi kegiatan Jaga rutin</t>
  </si>
  <si>
    <t>Penguatan dan Peningkatan Kapasitas Tenaga Keamanan /Ketertiban oleh Pemerintah Desa</t>
  </si>
  <si>
    <t>Koordinasi Pembinaan Ketentraman,Ketertiban,dan Perlindungan Masyarakat Skala Lokal Desa</t>
  </si>
  <si>
    <t>Pelatihan Kesiapsiagaan /Tanggap Bencana Skala Lokal Desa</t>
  </si>
  <si>
    <t>Penyediaan Pos Kesiapsiagaan Bencana Skala Lokal Desa</t>
  </si>
  <si>
    <t>Bantuan Hukum Untuk Aparatur Desa dan Masyarakat Miskin</t>
  </si>
  <si>
    <t>Pelatihan / Penyuluhan / Sosialisasi Kepada Masyarakat di Bidang Hukum dan Pelindungan Masyarakat</t>
  </si>
  <si>
    <t>Pembinaan Group Kesenian</t>
  </si>
  <si>
    <t>BHP,BHR</t>
  </si>
  <si>
    <t xml:space="preserve">Konsumsi Pengiriman Kontingen Group Kesenian </t>
  </si>
  <si>
    <t>Uang saku peserta/kontingen</t>
  </si>
  <si>
    <t>Kegiatan Bulan Bahasa Bali</t>
  </si>
  <si>
    <t>Pembangunan / Rehabilitasi /Peningkatan Sarana dan Prasarana Kebudayaan / Rumah Adat / Keagamaan Milik Desa</t>
  </si>
  <si>
    <t>Penyelenggaraan Festival Kesenian, Adat / Kebudayaan , dan Keagamaan (Perayaan Hari Kemerdekaan,Hari Besar Keagamaan, DLL)Tingkat Desa</t>
  </si>
  <si>
    <t>Upacara Pecaruan Lan Piodalan di Desa Pakraman Bangkah</t>
  </si>
  <si>
    <t>Piodalan di Desa Pakraman Bangkah</t>
  </si>
  <si>
    <t>SWD</t>
  </si>
  <si>
    <t>Piodalan di Desa Pakraman Pacung</t>
  </si>
  <si>
    <t>Pembangunan /Rehabilitasi/Peningkatan Sarana dan Prasarana Kebudayaan/Rumah Adat/Keagamaan Milik Desa</t>
  </si>
  <si>
    <t>Pembangunan Bale Paebatan Desa Pakraman Bangkah</t>
  </si>
  <si>
    <t>Pembangunan Bale Pura Bale Agung Desa Pakraman Pacung</t>
  </si>
  <si>
    <t>Konsumsi Lomba</t>
  </si>
  <si>
    <t>Seragam Lomba</t>
  </si>
  <si>
    <t>Penyelenggaraan Pelatihan Kepemudaan Tingkat Desa</t>
  </si>
  <si>
    <t xml:space="preserve">Penyelenggaraan Festival / Lomba Kepemudaan dan Olahraga Tingkat Desa </t>
  </si>
  <si>
    <t>Pemeliharaan Sarana dan Prasarana Kepemudaan dan Olah Raga Milik Desa</t>
  </si>
  <si>
    <t>Pembangunan / Rehabilitasi / Peningkatan Sarana dan Prasarana Kepemudaan dan Olah Rga Milik Desa</t>
  </si>
  <si>
    <t>Perataan Lapangan Sepak Bola</t>
  </si>
  <si>
    <t>Pembinaan Karang Taruna / Klub Kepemudaan  / Klub Olah Raga</t>
  </si>
  <si>
    <t>Bantuan Paket Sarpras Klub Olahraga Voli</t>
  </si>
  <si>
    <t>Pembinaan Lembaga Adat</t>
  </si>
  <si>
    <t>Kegiatan LPM</t>
  </si>
  <si>
    <t>Pengelolaan PKK/Kegiatan Dasa Wisma/Pendataan</t>
  </si>
  <si>
    <t>Sub Bidang Kelautan dan Perikanan</t>
  </si>
  <si>
    <t>Bantuan Perikanan ( Bibit/Pakan/dst)</t>
  </si>
  <si>
    <t>Pelatihan/Bimtek/Pengenalan TTG untuk Perikanan Darat/Nelayan</t>
  </si>
  <si>
    <t>Peningkatan Produksi Tanaman Pangan (Alat Produksi dan pengolahan pertanian, penggilingan Padi/jagung, dll)</t>
  </si>
  <si>
    <t>Pengadaan bibit tanaman pertanian</t>
  </si>
  <si>
    <t>Bantuan pakan ternak babi</t>
  </si>
  <si>
    <t>Bantuan Kandang Ternak babi</t>
  </si>
  <si>
    <t>Penguatan Ketahanan Pangan Tingkat Desa (Lumbung Desa,dll)</t>
  </si>
  <si>
    <t>Penguatan Ketahanan Pangan Tingkat Desa</t>
  </si>
  <si>
    <t>Pelatihan/Bimtek/Pengenalan TTG untuk Pertanian/Peternakan</t>
  </si>
  <si>
    <t>Pelatihan Pengolahan Pakan Ternak Babi</t>
  </si>
  <si>
    <t>Penguatan Kapasitas/Pembinaan Kelompok PKK</t>
  </si>
  <si>
    <t>Pelatihan/Penyuluhan Perlindungan Anak</t>
  </si>
  <si>
    <t>Pelatihan dan Penguatan Penyandang Difabel</t>
  </si>
  <si>
    <t>Sub Bidang Koperasi, UMKM</t>
  </si>
  <si>
    <t>Pelatihan Manajemen Pengelolaan Koperasi/KUD/UMKM</t>
  </si>
  <si>
    <t>Pengembangan Sarana Prasarana UMKM serta Koperasi</t>
  </si>
  <si>
    <t>Pengadaan TTG untuk Pengembangan Ekonomi Pedesaan Non - Pertanian</t>
  </si>
  <si>
    <t>Sub Bidang Penanaman Modal</t>
  </si>
  <si>
    <t>Pelatihan Pengelolaan BUMDesa</t>
  </si>
  <si>
    <t>Sub Bidang Perdagangan dan Perindustrian</t>
  </si>
  <si>
    <t>Pembangunan/Rehabilitasi/Peningkatan Pasar Desa/Kios milik Desa</t>
  </si>
  <si>
    <t>Pembangunan 3 Unit Tambahan Kios Pasar Desa</t>
  </si>
  <si>
    <t>Pembentukan/Fasilitasi/Pelatihan/Pendampingan Kelompok UEP (Pengerajin,Pedagang,Industri Rumah Tangga,dll)</t>
  </si>
  <si>
    <t>Pendampingan dan penguatan permodalan klp UEP</t>
  </si>
  <si>
    <t>00</t>
  </si>
  <si>
    <t>Penanggulangan Bencana</t>
  </si>
  <si>
    <t>Keadaan Darurat</t>
  </si>
  <si>
    <t>Keadaan Mendesak</t>
  </si>
  <si>
    <t>-BLT Desa</t>
  </si>
  <si>
    <t>PEMBIAYAAN</t>
  </si>
  <si>
    <t>Penyertaan Modal Desa</t>
  </si>
  <si>
    <t>SUMBER DANA</t>
  </si>
  <si>
    <t>PAD (BUMDesa)</t>
  </si>
  <si>
    <t>DLL/JAGIR</t>
  </si>
  <si>
    <t>SILPA</t>
  </si>
  <si>
    <t>PENDAPATAN</t>
  </si>
  <si>
    <t>BELANJA</t>
  </si>
  <si>
    <t>KURANG LBH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</si>
  <si>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</si>
  <si>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Blj Non BKK</t>
  </si>
  <si>
    <t>Capaian</t>
  </si>
  <si>
    <t>%</t>
  </si>
  <si>
    <t>Lebih Kurang</t>
  </si>
  <si>
    <t>jumlah</t>
  </si>
  <si>
    <t>SISA</t>
  </si>
  <si>
    <t>SELISIH</t>
  </si>
  <si>
    <t>Pemberian PMT Pemulihan</t>
  </si>
  <si>
    <t>JUMLAH</t>
  </si>
  <si>
    <t>NON BKK</t>
  </si>
  <si>
    <t>PERSENTASE (%)</t>
  </si>
  <si>
    <t>PAGU INDIKATIF INDUK DANA TRANSFER 2023</t>
  </si>
  <si>
    <t>PERUBAHAN 2022</t>
  </si>
  <si>
    <t>Pemeliharaan bangunan TK</t>
  </si>
  <si>
    <t>Pengadaan 3 Unit AC</t>
  </si>
  <si>
    <t>Belanja Makanan dan Minuman</t>
  </si>
  <si>
    <t>- Infant Ruller</t>
  </si>
  <si>
    <t>- Antropometri Kit</t>
  </si>
  <si>
    <t>Finishing kamar mandi Posyandu Dungdung</t>
  </si>
  <si>
    <t>Transport/Uang saku peserta</t>
  </si>
  <si>
    <t>Rehabilitasi Rabat Beton Jalan Usaha Tani di Banjar Dungdung BD Anta Sari</t>
  </si>
  <si>
    <t>Operasional TPS 3R</t>
  </si>
  <si>
    <t>Honor pelatih tari</t>
  </si>
  <si>
    <t>Sewa pakaian tari</t>
  </si>
  <si>
    <t>Kegiatan panggung gembira</t>
  </si>
  <si>
    <t>Orang</t>
  </si>
  <si>
    <t>Kegiatan Peningkatan Produksi Peternakan</t>
  </si>
  <si>
    <t>BELANJA + PEMBIAYAAN</t>
  </si>
  <si>
    <t>Pengadaan 1 Unit Printer</t>
  </si>
  <si>
    <t>ADD, SiLPA ADD</t>
  </si>
  <si>
    <t>Materai</t>
  </si>
  <si>
    <t>SiLPA BHP</t>
  </si>
  <si>
    <t>BHP,SiLPA BHP</t>
  </si>
  <si>
    <t>Pengadaan 2 Unit AC</t>
  </si>
  <si>
    <t>SiLPA BHR</t>
  </si>
  <si>
    <t>BBM Pak Mekel?</t>
  </si>
  <si>
    <t>SiLPA PAD</t>
  </si>
  <si>
    <t>SiLPA DD</t>
  </si>
  <si>
    <t>SiLPA DLL</t>
  </si>
  <si>
    <t>BHR, SiLPA BHP</t>
  </si>
  <si>
    <t>Honor Guru TK</t>
  </si>
  <si>
    <t>Belanja pakaian Dinas (675,000)</t>
  </si>
  <si>
    <t>3% DD Operasional</t>
  </si>
  <si>
    <t>Operasional Pemdes yang Bersumber dari Dana Desa</t>
  </si>
  <si>
    <t>Biaya koordinasi Pemerintahan Desa</t>
  </si>
  <si>
    <t>Dukungan Penyelenggaraan pencegahan dan penanggulangan kerawanan sosial</t>
  </si>
  <si>
    <t>Dukungan acara seremonial di Desa</t>
  </si>
  <si>
    <t>TP Sek BKP</t>
  </si>
  <si>
    <t>TP PD BKP</t>
  </si>
  <si>
    <t>92</t>
  </si>
  <si>
    <t>Tambahan Penghasilan Perangkat Desa dari BKK Propinsi Bali</t>
  </si>
  <si>
    <t>TP Sekdes</t>
  </si>
  <si>
    <t>TP Perangkat Desa</t>
  </si>
  <si>
    <t>INDIKATIF 2023</t>
  </si>
  <si>
    <t>PAGU DEFINITIF INDUK DANA TRANSFER 2023</t>
  </si>
  <si>
    <t>DEFINITIF 2023</t>
  </si>
  <si>
    <t>HTG BHP</t>
  </si>
  <si>
    <t>HTG BHR</t>
  </si>
  <si>
    <t>HUT BHP</t>
  </si>
  <si>
    <t>HUT BHR</t>
  </si>
  <si>
    <t>01.Penghasilan Tetap Perbekel (4.038.000/Bln)</t>
  </si>
  <si>
    <t>01.Penghasilan Tetap Sekdes (2.826.600/Bln)</t>
  </si>
  <si>
    <t>04.Penghasilan Tetap 9 Org Perangkat (2.022.220/Bln)</t>
  </si>
  <si>
    <t>DD,ADD</t>
  </si>
  <si>
    <t>Pengadaan 1 Unit Smart TV 60"</t>
  </si>
  <si>
    <t xml:space="preserve">Pengadaan 1 Unit Laptop/Komputer PC Built Up </t>
  </si>
  <si>
    <t>Pengadaan Seragam Linmas</t>
  </si>
  <si>
    <t>Penambahan Daya Instalasi Listrik</t>
  </si>
  <si>
    <t>Rehabilitasi bangunan TK</t>
  </si>
  <si>
    <t>Alat Permainan Out Door TK</t>
  </si>
  <si>
    <t>Bantuan Ternak Sapi</t>
  </si>
  <si>
    <t>Jamban</t>
  </si>
  <si>
    <t>Rehab Rumah</t>
  </si>
  <si>
    <t>- Konsumsi</t>
  </si>
  <si>
    <t>- Perjalanan Dinas</t>
  </si>
  <si>
    <t>- Konsumsi Rapat/pertemuan</t>
  </si>
  <si>
    <t>- Pemberian Bantuan Kepada Masyarakat</t>
  </si>
  <si>
    <t>- Konsumsi Kegiatan</t>
  </si>
  <si>
    <t>- Hadiah Lomba/Kegiatan untuk Masyarakat Berprestasi</t>
  </si>
  <si>
    <t>- Sewa Peralatan</t>
  </si>
  <si>
    <t>Pemberian Bantuan Dukungan Pembangunan Bedah Rumah 8 Unit</t>
  </si>
  <si>
    <t>BPJS Hari Tua Sekdes</t>
  </si>
  <si>
    <t>BPJS Pensiun Sekdes</t>
  </si>
  <si>
    <t>BPJS Kematian  Sekdes</t>
  </si>
  <si>
    <t>BPJS Kecelakaan Kerja Sekdes</t>
  </si>
  <si>
    <t>1 TAHUN</t>
  </si>
  <si>
    <t>1 BULAN</t>
  </si>
  <si>
    <t>IBB DES 2022</t>
  </si>
  <si>
    <t>BKU DES 2022</t>
  </si>
  <si>
    <t>Dukungan Bantuan Pembangunan Jamban Sehat utk RTM</t>
  </si>
  <si>
    <t>Rehabiltasi Srpras Posyandu Dungdung</t>
  </si>
  <si>
    <t>Peningkatan Sambungan (Pipanisasi) Air Bersih ke Rumah Tangga</t>
  </si>
  <si>
    <t>Insentif 6 orang petugas pengelola sampah</t>
  </si>
  <si>
    <t>PERUBAHAN PAGU DEFINITIF INDUK DANA TRANSFER 2023</t>
  </si>
  <si>
    <t>DEFINITIF AWAL 2023</t>
  </si>
  <si>
    <t>DEFINITIF PERUBAHAN 2023</t>
  </si>
  <si>
    <t>10% DD</t>
  </si>
  <si>
    <t>KPM BLT DD</t>
  </si>
  <si>
    <t>-Papan Nama Posyandu</t>
  </si>
  <si>
    <t>Pemberian Bantuan Dukungan Pembangunan Bedah Rumah 10 Unit</t>
  </si>
  <si>
    <t>PERUBAHAN PROGRAM KEGIATAN APB DESA PACUNG TAHUN 2023</t>
  </si>
  <si>
    <t>Belanja Pakaian Dinas (700,000)</t>
  </si>
  <si>
    <t>Belanja pakaian Dinas (700,000)</t>
  </si>
  <si>
    <t>PAD,ADD</t>
  </si>
  <si>
    <t>Kegiatan Pengembangan Pariwisata melalui Pokmaswas</t>
  </si>
  <si>
    <t>BHP,ADD,PAD</t>
  </si>
  <si>
    <t>Pengadaan 2 Unit Traktor Ladang</t>
  </si>
  <si>
    <t>DD NON BLT</t>
  </si>
  <si>
    <t>NON BLT 40%</t>
  </si>
  <si>
    <t>25% DD BLT</t>
  </si>
  <si>
    <t>02.Tunjangan Perbekel (2.150.000/Bln)</t>
  </si>
  <si>
    <t>02.Tunjangan Sekdes (1.600.000/Bln)</t>
  </si>
  <si>
    <t>06.Tunjangan 9 Org Perangkat (1.150.000/Bln)</t>
  </si>
  <si>
    <t>ADD,PAD,BHR</t>
  </si>
  <si>
    <t>- Pemeliharaan Bangunan Posyandu</t>
  </si>
  <si>
    <t>PERUBAHAN PENJABARAN PROGRAM KEGIATAN APB DESA PACUNG TAHUN 2023</t>
  </si>
  <si>
    <t>02.Tunjangan Perbekel ((2.150.000x7)+2.050.000+(1.900.000x3)/Bln)</t>
  </si>
  <si>
    <t>02.Tunjangan Sekdes ((1.600.000x7)+1.400.000+(1.400.000x3)/Bln)</t>
  </si>
  <si>
    <t>06.Tunjangan 9 Org Perangkat ((1.150.000x9x7)+(950.000x9x1)+(1.000.000x9x3)/Bln)</t>
  </si>
  <si>
    <t>KETUA</t>
  </si>
  <si>
    <t>WAKIL KETUA</t>
  </si>
  <si>
    <t>SEK</t>
  </si>
  <si>
    <t>KET BID I</t>
  </si>
  <si>
    <t>KET BID II</t>
  </si>
  <si>
    <t>Rincian Petugas Kebersihan</t>
  </si>
  <si>
    <t>Rincian Tunj BPD</t>
  </si>
  <si>
    <t>Perbekel</t>
  </si>
  <si>
    <t>Sekdes</t>
  </si>
  <si>
    <t>PD</t>
  </si>
  <si>
    <t>Ketua BPD</t>
  </si>
  <si>
    <t>Wakil</t>
  </si>
  <si>
    <t>Sek</t>
  </si>
  <si>
    <t>Ket Bid I</t>
  </si>
  <si>
    <t>Ket Bid II</t>
  </si>
  <si>
    <t>Belanja Pakaian Dinas (1.000.000x13)</t>
  </si>
  <si>
    <t>Belanja pakaian Dinas (1.000.000x5)</t>
  </si>
  <si>
    <t>PAGU INDIKATIF INDUK DANA TRANSFER 2024</t>
  </si>
  <si>
    <t>INDIKATIF 2024</t>
  </si>
  <si>
    <t>RANCANGAN PROGRAM KEGIATAN RKP DESA PACUNG TAHUN 2024</t>
  </si>
  <si>
    <t>01.Penghasilan Tetap Perbekel (4.159.250/Bln)</t>
  </si>
  <si>
    <t>01.Penghasilan Tetap Sekdes (2.911.475/Bln)</t>
  </si>
  <si>
    <t>04.Penghasilan Tetap 9 Org Perangkat (2.079.625/Bln)</t>
  </si>
  <si>
    <t>Belanja Pakaian Dinas (700.000)</t>
  </si>
  <si>
    <t>Belanja Perjalanan Dinas Dalam Kecamatan</t>
  </si>
  <si>
    <t>Belanja Perjalanan Dinas Luar Kecamatan</t>
  </si>
  <si>
    <t>Belanja Perjalanan Dinas Luar Kabupaten</t>
  </si>
  <si>
    <t>Ketua</t>
  </si>
  <si>
    <t>Anggota</t>
  </si>
  <si>
    <t>- Pemberian barang yang diserahkan ke masyarakat</t>
  </si>
  <si>
    <t>konsumsi Pelayanan dan Penagihan PBB</t>
  </si>
  <si>
    <t>Konsumsi Penyebaran SPPT</t>
  </si>
  <si>
    <t>Honor Petugas Pelayanan Administrasi PBB</t>
  </si>
  <si>
    <t>Konsumsi Sosialisasi dan Pelayanan PBB</t>
  </si>
  <si>
    <t>Honor pelatih tari dan Tabuh</t>
  </si>
  <si>
    <t>Sewa pakaian tari dan Tabuh</t>
  </si>
  <si>
    <t>Konsumsi Kegiatan</t>
  </si>
  <si>
    <t>-Konsumsi sosialisasi/Penyuluhan/Edukasi</t>
  </si>
  <si>
    <t>-Konsumsi Pendataan/Sensus HPR</t>
  </si>
  <si>
    <t>-Konsumsi Kegiatan Vaksinasi</t>
  </si>
  <si>
    <t>Penanganan dan Pencegahan Rabies dan Penyakit Menular Lainnya</t>
  </si>
  <si>
    <t>Insentif 1 Orang Petugas Pengangkut Sampah</t>
  </si>
  <si>
    <t>Insentif 1 Orang Direktur Operasional</t>
  </si>
  <si>
    <t>Operasional Kegiatan dan Pengadaan Sarpras Linmas</t>
  </si>
  <si>
    <t>Insentif Kegiatan Linmas</t>
  </si>
  <si>
    <t>Konsumsi kegiatan Linmas</t>
  </si>
  <si>
    <t>Pengadaan seragam linmas</t>
  </si>
  <si>
    <t>Penyelenggaraan Festival Kesenian, Adat / Kebudayaan , dan Keagamaan  Tingkat Desa</t>
  </si>
  <si>
    <t>Pengadaan Sarpras TK</t>
  </si>
  <si>
    <t xml:space="preserve">Pergantian Pipa (HDPE) 2000 m </t>
  </si>
  <si>
    <t>Pembangunan Reservoar 50 m3 di Dungdung</t>
  </si>
  <si>
    <t>Pembangunan 2 Unit Tambahan Kios Pasar Desa</t>
  </si>
  <si>
    <t>Pengadaan Sarana Lampu Penerangan Jalan Desa (LPJU Tenaga Surya)</t>
  </si>
  <si>
    <t>Rabat Beton Jalan Puri Bagus - Banjar Batu Tengah</t>
  </si>
  <si>
    <t>Rabat Beton dan Rehabilitasi Jalan Banjar Dungdung</t>
  </si>
  <si>
    <t>Pengerasan Jalan Lingkungan BD. Kubuanyar</t>
  </si>
  <si>
    <t>Pengerasan Jalan Lingkungan Kampung Baru</t>
  </si>
  <si>
    <t>Pembangunan Gorong-gorong BD. Alassari</t>
  </si>
  <si>
    <t>Pemeliharaan Gorong gorong</t>
  </si>
  <si>
    <t>Pembangunan Senderan Jalan Desa BD. Alassari</t>
  </si>
  <si>
    <t>Rabat Beton Jalan di Banjar Pule 1000 m</t>
  </si>
  <si>
    <t>Pemeliharaan Sarana dan Prasarana Energi Alternatif tingkat Desa</t>
  </si>
  <si>
    <t>Pembangunan/Rehabilitasi/Peningkatan Sarana dan Prasarana Energi Alternatif tingkat Desa **</t>
  </si>
  <si>
    <t>Insentif 1 Orang Petugas Pemilah</t>
  </si>
  <si>
    <t>Pembangunan Rabat Beton Jalan Usaha Tani Br.Pule 1000 m</t>
  </si>
  <si>
    <t>Rehabilitasi Rabat Beton Jalan Desa Banjar Demih Barat 630 m</t>
  </si>
  <si>
    <t>Rehabilitasi Jalan Desa Banjar Demih Timur</t>
  </si>
  <si>
    <t>Pengadaan Lampu Penerangan Jalan Desa</t>
  </si>
  <si>
    <t>Pembangunan Lanjutan Gedung Kantor Desa</t>
  </si>
  <si>
    <t>Pengadaan 1 Unit Komputer/Laptop</t>
  </si>
  <si>
    <t>Pengembangan DTW Berbasis Budaya dan Alam</t>
  </si>
  <si>
    <t>BHP,BHR,ADD</t>
  </si>
  <si>
    <t>Jasa Honorarium Pembantu Operator Desa</t>
  </si>
  <si>
    <t>Rehabilitasi TPST BD. Kubuanyar</t>
  </si>
  <si>
    <t>Pengadaan listrik lapangan voly BD. Kubuanyar</t>
  </si>
  <si>
    <t>Rehabilitasi Saluran Air Limbah/Gorong2 BD Kubuanyar</t>
  </si>
  <si>
    <t>Pengadaan 1 Unit Kendaraan Angkut Sampah TPS3R</t>
  </si>
  <si>
    <t>Pembangunan Rabat Beton Jalan Usaha Tani Br.Pule 620 m</t>
  </si>
  <si>
    <t>Pengerasan Jalan Lingkungan Kubuanyar</t>
  </si>
  <si>
    <t>Bantuan Paket Sarpras Klp Olahraga Voli</t>
  </si>
  <si>
    <t>PAGU DEFINITIF INDUK DANA TRANSFER 2024</t>
  </si>
  <si>
    <t>01.Penghasilan Tetap Perbekel (4.346.708/Bln)</t>
  </si>
  <si>
    <t>01.Penghasilan Tetap Sekdes (3.042.695/Bln)</t>
  </si>
  <si>
    <t>04.Penghasilan Tetap 9 Org Perangkat (2.173.354/Bln)</t>
  </si>
  <si>
    <t>Pemeliharaan Gedung TK</t>
  </si>
  <si>
    <t>Pengadaan Pakaian Bidan Desa</t>
  </si>
  <si>
    <t>Pengadaan bibit sapi</t>
  </si>
  <si>
    <t>BHP,ADD</t>
  </si>
  <si>
    <t>Belanja Perjalanan Dinas Dalam Kabupaten</t>
  </si>
  <si>
    <t xml:space="preserve">Pergantian Pipa (HDPE) 1300 m </t>
  </si>
  <si>
    <t>DD,PAD</t>
  </si>
  <si>
    <t>DD,DLL</t>
  </si>
  <si>
    <t>Kegiatan Rembug Stunting dan Penyuluhan Kesehatan</t>
  </si>
  <si>
    <t>Honor TPK</t>
  </si>
  <si>
    <t>Uang Saku Peserta</t>
  </si>
  <si>
    <t>-BLT Desa (30 KPM)</t>
  </si>
  <si>
    <t>Belanja Honorarium PKPKD dan PPKD @5Bulan</t>
  </si>
  <si>
    <t>Belanja Honorarium PKPKD dan PPKD @7 Bulan</t>
  </si>
  <si>
    <t>Admin Bank (Wajib diinput)</t>
  </si>
  <si>
    <t>Pengerasan Jalan Lingkungan Kampung Baru 80x3x0,0,08 m</t>
  </si>
  <si>
    <t>Rabat Beton Jalan Usaha Tani Br.Pule 615x3x 0,10 m</t>
  </si>
  <si>
    <t>Rehabilitasi Rabat Beton Jalan Desa Banjar Demih Barat 630x3,5x0,08m</t>
  </si>
  <si>
    <t>Insentif 2 Orang Petugas Pemilah</t>
  </si>
  <si>
    <t>RINCIAN KEGIATAN PRIORITAS DANA DESA TAHUN 2024</t>
  </si>
  <si>
    <t>Peraturan Menteri Desa, Pembangunan Daerah Tertinggal, dan Transmigrasi Nomor 7 Tahun 2023 tentang Rincian Prioritas Penggunaan Dana Desa</t>
  </si>
  <si>
    <t>Peraturan Menteri Desa, Pembangunan Daerah Tertinggal, dan Transmigrasi Nomor 13 Tahun 2023 tentang Petunjuk Operasional atas Fokus Penggunaan Dana Desa Tahun 2024</t>
  </si>
  <si>
    <t>Program Pencegahan dan Penurunan Stunting Skala Desa</t>
  </si>
  <si>
    <t>Bantuan Permodalan BUM Desa / BUM Desa Bersama</t>
  </si>
  <si>
    <t>Penanganan Kemiskinan Ekstrem melalui BLT Desa (Maks 25%)</t>
  </si>
  <si>
    <t>Program Ketahanan Pangan dan Hewani (Minimal 20%)</t>
  </si>
  <si>
    <t>Dana Operasional Pemerintahan Desa (Maks 3%)</t>
  </si>
  <si>
    <t>a.</t>
  </si>
  <si>
    <t>BLT Desa</t>
  </si>
  <si>
    <t>b.</t>
  </si>
  <si>
    <t>c.</t>
  </si>
  <si>
    <t>2.3.12</t>
  </si>
  <si>
    <t>No</t>
  </si>
  <si>
    <t>Kode Rek</t>
  </si>
  <si>
    <t>Kegiatan</t>
  </si>
  <si>
    <t>Anggaran</t>
  </si>
  <si>
    <t>Capaian (%)</t>
  </si>
  <si>
    <t>5.3.00</t>
  </si>
  <si>
    <t>2.4.12</t>
  </si>
  <si>
    <t>4.2.01</t>
  </si>
  <si>
    <t>4.2.02</t>
  </si>
  <si>
    <t>d.</t>
  </si>
  <si>
    <t>2.2.01</t>
  </si>
  <si>
    <t>2.2.02</t>
  </si>
  <si>
    <t>2.2.03</t>
  </si>
  <si>
    <t>2.2.06</t>
  </si>
  <si>
    <t>1.1.08</t>
  </si>
  <si>
    <t>-</t>
  </si>
  <si>
    <t>*</t>
  </si>
  <si>
    <t>Catatan :</t>
  </si>
  <si>
    <t>Maksimal 48% dari Pagu Dana Desa dipergunakan untuk mendanai Program/Kegiatan yang diamanatkan oleh UU APBN</t>
  </si>
  <si>
    <t>Minimal 52% dari Pagu Dana Desa dipergunakan untuk mendanai Program/Kegiatan sesuai kebutuhan warga dan bergagai permasalahan yang terjadi di Desa</t>
  </si>
  <si>
    <t>Pagu Dana Desa Pacung 2024 :</t>
  </si>
  <si>
    <t>Sesuai Dengan :</t>
  </si>
  <si>
    <t>Samsat Kendaraan Bermotor</t>
  </si>
  <si>
    <t>Biaya Pajak Bunga (Wajib diinput)</t>
  </si>
  <si>
    <t>PERUBAHAN PAGU DEFINITIF INDUK DANA TRANSFER 2024</t>
  </si>
  <si>
    <t>PERUB INDIKATIF 2024</t>
  </si>
  <si>
    <t>LAPORAN RINCIAN PAGU DANA DESA TAHUN 2024 PADA APB DESA YANG DITENTUKAN PENGGUNAANNYA</t>
  </si>
  <si>
    <t>Desa</t>
  </si>
  <si>
    <t>Kecamatan</t>
  </si>
  <si>
    <t>No.</t>
  </si>
  <si>
    <t>Program Dana Desa Yang Ditentukan Penggunaannya</t>
  </si>
  <si>
    <t>Kurang Bayar TPPPD Sekdes 2023</t>
  </si>
  <si>
    <t>Kurang Bayar TP Perangkat Desa 2023</t>
  </si>
  <si>
    <t>Kurang Bayar TPP dari BKK Propinsi Bali 2023</t>
  </si>
  <si>
    <t>Rehabilitasi Rabat Beton Jalan Desa Banjar Demih Barat 480x3,5x0,08m</t>
  </si>
  <si>
    <t>Rabat Beton Jalan Usaha Tani Br.Pule 450x3x 0,10 m</t>
  </si>
  <si>
    <t>Kurang 6 Bulan</t>
  </si>
  <si>
    <t>Pengadaan 2 Unit Komputer/Laptop</t>
  </si>
  <si>
    <t>RANCANGAN PERUBAHAN PROGRAM KEGIATAN APB DESA PACUNG TAHUN 2024</t>
  </si>
  <si>
    <t>-BLT Desa (20 KPM)</t>
  </si>
  <si>
    <t xml:space="preserve">Pergantian Pipa (HDPE) 839 m </t>
  </si>
  <si>
    <t>Rehabilitasi Rabat Beton Jalan Desa Banjar Demih Barat 560x3x0,08m</t>
  </si>
  <si>
    <t>TOTAL PBH</t>
  </si>
  <si>
    <t>SILPA BHR</t>
  </si>
  <si>
    <t>HUTANG BHP</t>
  </si>
  <si>
    <t>HUTANG BHR</t>
  </si>
  <si>
    <t>SILPA BHP</t>
  </si>
  <si>
    <t>PBH + SILPA</t>
  </si>
  <si>
    <t>Rehabilitasi Rabat Beton Jalan Desa Banjar Demih Barat 480x3,5x0,08m (560x3x0,08 m)</t>
  </si>
  <si>
    <r>
      <t xml:space="preserve">Sewa pakaian tari dan Tabuh </t>
    </r>
    <r>
      <rPr>
        <i/>
        <sz val="11"/>
        <color rgb="FFFF0000"/>
        <rFont val="Calibri"/>
        <family val="2"/>
        <scheme val="minor"/>
      </rPr>
      <t>(Diubah menjadi pembelian)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</si>
</sst>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#,##0.0000"/>
    <numFmt numFmtId="165" formatCode="_(* #,##0.000_);_(* \(#,##0.000\);_(* &quot;-&quot;???_);_(@_)"/>
    <numFmt numFmtId="166" formatCode="_(* #,##0.00_);_(* \(#,##0.00\);_(* &quot;-&quot;_);_(@_)"/>
  </numFmts>
  <fonts count="26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Bookman Old Style"/>
      <family val="1"/>
    </font>
    <font>
      <sz val="11"/>
      <color rgb="FFFF0000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i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20" fillId="0" borderId="0" applyFont="0" applyFill="0" applyBorder="0" applyAlignment="0" applyProtection="0"/>
  </cellStyleXfs>
  <cellXfs count="400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0" fillId="3" borderId="1" xfId="0" applyFill="1" applyBorder="1" applyAlignment="1">
      <alignment wrapText="1"/>
    </xf>
    <xf numFmtId="0" fontId="3" fillId="4" borderId="1" xfId="0" applyFont="1" applyFill="1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0" fontId="4" fillId="3" borderId="1" xfId="0" applyFont="1" applyFill="1" applyBorder="1"/>
    <xf numFmtId="0" fontId="2" fillId="4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6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5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43" fontId="0" fillId="3" borderId="1" xfId="0" applyNumberFormat="1" applyFill="1" applyBorder="1" applyAlignment="1">
      <alignment vertical="center"/>
    </xf>
    <xf numFmtId="0" fontId="2" fillId="2" borderId="1" xfId="0" quotePrefix="1" applyFont="1" applyFill="1" applyBorder="1" applyAlignment="1">
      <alignment vertical="center"/>
    </xf>
    <xf numFmtId="43" fontId="2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3" fontId="9" fillId="2" borderId="1" xfId="0" applyNumberFormat="1" applyFont="1" applyFill="1" applyBorder="1" applyAlignment="1">
      <alignment vertical="center"/>
    </xf>
    <xf numFmtId="0" fontId="9" fillId="2" borderId="1" xfId="0" quotePrefix="1" applyFont="1" applyFill="1" applyBorder="1" applyAlignment="1">
      <alignment vertical="center"/>
    </xf>
    <xf numFmtId="43" fontId="9" fillId="2" borderId="1" xfId="0" applyNumberFormat="1" applyFont="1" applyFill="1" applyBorder="1" applyAlignment="1">
      <alignment horizontal="left" vertical="center"/>
    </xf>
    <xf numFmtId="43" fontId="9" fillId="7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43" fontId="4" fillId="2" borderId="1" xfId="0" applyNumberFormat="1" applyFont="1" applyFill="1" applyBorder="1" applyAlignment="1">
      <alignment vertical="center"/>
    </xf>
    <xf numFmtId="43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0" fillId="2" borderId="1" xfId="0" quotePrefix="1" applyFill="1" applyBorder="1"/>
    <xf numFmtId="0" fontId="10" fillId="2" borderId="1" xfId="0" applyFont="1" applyFill="1" applyBorder="1"/>
    <xf numFmtId="43" fontId="10" fillId="2" borderId="1" xfId="0" applyNumberFormat="1" applyFont="1" applyFill="1" applyBorder="1"/>
    <xf numFmtId="43" fontId="9" fillId="2" borderId="1" xfId="0" applyNumberFormat="1" applyFont="1" applyFill="1" applyBorder="1"/>
    <xf numFmtId="43" fontId="9" fillId="7" borderId="1" xfId="0" applyNumberFormat="1" applyFont="1" applyFill="1" applyBorder="1"/>
    <xf numFmtId="0" fontId="9" fillId="7" borderId="1" xfId="0" applyFont="1" applyFill="1" applyBorder="1"/>
    <xf numFmtId="0" fontId="2" fillId="2" borderId="1" xfId="0" quotePrefix="1" applyFont="1" applyFill="1" applyBorder="1"/>
    <xf numFmtId="43" fontId="2" fillId="2" borderId="1" xfId="0" applyNumberFormat="1" applyFont="1" applyFill="1" applyBorder="1"/>
    <xf numFmtId="0" fontId="9" fillId="2" borderId="1" xfId="0" quotePrefix="1" applyFont="1" applyFill="1" applyBorder="1"/>
    <xf numFmtId="0" fontId="0" fillId="3" borderId="1" xfId="0" quotePrefix="1" applyFill="1" applyBorder="1"/>
    <xf numFmtId="43" fontId="0" fillId="3" borderId="1" xfId="0" applyNumberFormat="1" applyFill="1" applyBorder="1"/>
    <xf numFmtId="0" fontId="2" fillId="3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/>
    <xf numFmtId="43" fontId="12" fillId="2" borderId="1" xfId="0" applyNumberFormat="1" applyFont="1" applyFill="1" applyBorder="1"/>
    <xf numFmtId="0" fontId="10" fillId="2" borderId="1" xfId="0" quotePrefix="1" applyFont="1" applyFill="1" applyBorder="1"/>
    <xf numFmtId="0" fontId="13" fillId="2" borderId="1" xfId="0" applyFont="1" applyFill="1" applyBorder="1"/>
    <xf numFmtId="43" fontId="13" fillId="2" borderId="1" xfId="0" applyNumberFormat="1" applyFont="1" applyFill="1" applyBorder="1"/>
    <xf numFmtId="0" fontId="9" fillId="2" borderId="1" xfId="0" quotePrefix="1" applyFont="1" applyFill="1" applyBorder="1" applyAlignment="1">
      <alignment horizontal="left"/>
    </xf>
    <xf numFmtId="43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9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4" fillId="2" borderId="1" xfId="0" applyFont="1" applyFill="1" applyBorder="1"/>
    <xf numFmtId="0" fontId="7" fillId="2" borderId="1" xfId="0" applyFont="1" applyFill="1" applyBorder="1"/>
    <xf numFmtId="43" fontId="0" fillId="2" borderId="1" xfId="0" applyNumberFormat="1" applyFill="1" applyBorder="1"/>
    <xf numFmtId="0" fontId="13" fillId="2" borderId="1" xfId="0" applyFont="1" applyFill="1" applyBorder="1" applyAlignment="1">
      <alignment vertical="center"/>
    </xf>
    <xf numFmtId="0" fontId="15" fillId="2" borderId="1" xfId="0" applyFont="1" applyFill="1" applyBorder="1"/>
    <xf numFmtId="0" fontId="5" fillId="2" borderId="0" xfId="0" applyFont="1" applyFill="1" applyAlignment="1">
      <alignment vertical="center" wrapText="1"/>
    </xf>
    <xf numFmtId="0" fontId="2" fillId="0" borderId="0" xfId="0" applyFont="1"/>
    <xf numFmtId="0" fontId="9" fillId="0" borderId="1" xfId="0" applyFont="1" applyBorder="1"/>
    <xf numFmtId="0" fontId="2" fillId="8" borderId="1" xfId="0" applyFont="1" applyFill="1" applyBorder="1" applyAlignment="1">
      <alignment vertical="center"/>
    </xf>
    <xf numFmtId="0" fontId="2" fillId="8" borderId="1" xfId="0" quotePrefix="1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3" fontId="2" fillId="8" borderId="1" xfId="0" applyNumberFormat="1" applyFont="1" applyFill="1" applyBorder="1" applyAlignment="1">
      <alignment vertical="center"/>
    </xf>
    <xf numFmtId="0" fontId="0" fillId="8" borderId="1" xfId="0" applyFill="1" applyBorder="1"/>
    <xf numFmtId="0" fontId="9" fillId="8" borderId="1" xfId="0" applyFont="1" applyFill="1" applyBorder="1"/>
    <xf numFmtId="43" fontId="9" fillId="8" borderId="1" xfId="0" applyNumberFormat="1" applyFont="1" applyFill="1" applyBorder="1"/>
    <xf numFmtId="43" fontId="2" fillId="4" borderId="1" xfId="0" applyNumberFormat="1" applyFont="1" applyFill="1" applyBorder="1"/>
    <xf numFmtId="0" fontId="3" fillId="2" borderId="1" xfId="0" applyFont="1" applyFill="1" applyBorder="1"/>
    <xf numFmtId="0" fontId="3" fillId="2" borderId="1" xfId="0" quotePrefix="1" applyFont="1" applyFill="1" applyBorder="1"/>
    <xf numFmtId="43" fontId="3" fillId="2" borderId="1" xfId="0" applyNumberFormat="1" applyFont="1" applyFill="1" applyBorder="1"/>
    <xf numFmtId="0" fontId="4" fillId="2" borderId="1" xfId="0" applyFont="1" applyFill="1" applyBorder="1"/>
    <xf numFmtId="0" fontId="2" fillId="9" borderId="1" xfId="0" applyFont="1" applyFill="1" applyBorder="1" applyAlignment="1">
      <alignment vertical="center"/>
    </xf>
    <xf numFmtId="0" fontId="2" fillId="9" borderId="1" xfId="0" quotePrefix="1" applyFont="1" applyFill="1" applyBorder="1" applyAlignment="1">
      <alignment vertical="center"/>
    </xf>
    <xf numFmtId="0" fontId="2" fillId="9" borderId="1" xfId="0" applyFont="1" applyFill="1" applyBorder="1" applyAlignment="1">
      <alignment vertical="center" wrapText="1"/>
    </xf>
    <xf numFmtId="43" fontId="2" fillId="9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9" fillId="2" borderId="1" xfId="0" quotePrefix="1" applyFont="1" applyFill="1" applyBorder="1" applyAlignment="1">
      <alignment wrapText="1"/>
    </xf>
    <xf numFmtId="0" fontId="13" fillId="2" borderId="1" xfId="0" applyFont="1" applyFill="1" applyBorder="1" applyAlignment="1">
      <alignment vertical="center" wrapText="1"/>
    </xf>
    <xf numFmtId="43" fontId="13" fillId="2" borderId="1" xfId="0" applyNumberFormat="1" applyFont="1" applyFill="1" applyBorder="1" applyAlignment="1">
      <alignment vertical="center"/>
    </xf>
    <xf numFmtId="0" fontId="9" fillId="2" borderId="1" xfId="0" quotePrefix="1" applyFont="1" applyFill="1" applyBorder="1" applyAlignment="1">
      <alignment vertical="center" wrapText="1"/>
    </xf>
    <xf numFmtId="0" fontId="13" fillId="2" borderId="1" xfId="0" quotePrefix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3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1" xfId="0" quotePrefix="1" applyFont="1" applyFill="1" applyBorder="1" applyAlignment="1">
      <alignment horizontal="left"/>
    </xf>
    <xf numFmtId="43" fontId="0" fillId="2" borderId="1" xfId="0" applyNumberForma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wrapText="1"/>
    </xf>
    <xf numFmtId="43" fontId="16" fillId="2" borderId="1" xfId="0" applyNumberFormat="1" applyFont="1" applyFill="1" applyBorder="1"/>
    <xf numFmtId="0" fontId="16" fillId="2" borderId="1" xfId="0" applyFont="1" applyFill="1" applyBorder="1"/>
    <xf numFmtId="0" fontId="4" fillId="3" borderId="1" xfId="0" applyFont="1" applyFill="1" applyBorder="1" applyAlignment="1">
      <alignment wrapText="1"/>
    </xf>
    <xf numFmtId="43" fontId="4" fillId="3" borderId="1" xfId="0" applyNumberFormat="1" applyFont="1" applyFill="1" applyBorder="1"/>
    <xf numFmtId="0" fontId="4" fillId="2" borderId="1" xfId="0" quotePrefix="1" applyFont="1" applyFill="1" applyBorder="1"/>
    <xf numFmtId="0" fontId="4" fillId="3" borderId="1" xfId="0" applyFont="1" applyFill="1" applyBorder="1" applyAlignment="1">
      <alignment vertical="center"/>
    </xf>
    <xf numFmtId="43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/>
    </xf>
    <xf numFmtId="43" fontId="4" fillId="6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43" fontId="17" fillId="2" borderId="1" xfId="0" applyNumberFormat="1" applyFont="1" applyFill="1" applyBorder="1"/>
    <xf numFmtId="0" fontId="4" fillId="6" borderId="1" xfId="0" applyFont="1" applyFill="1" applyBorder="1"/>
    <xf numFmtId="43" fontId="4" fillId="6" borderId="1" xfId="0" applyNumberFormat="1" applyFont="1" applyFill="1" applyBorder="1"/>
    <xf numFmtId="0" fontId="5" fillId="2" borderId="0" xfId="0" applyFont="1" applyFill="1"/>
    <xf numFmtId="0" fontId="2" fillId="5" borderId="1" xfId="0" applyFont="1" applyFill="1" applyBorder="1"/>
    <xf numFmtId="0" fontId="0" fillId="5" borderId="1" xfId="0" applyFill="1" applyBorder="1"/>
    <xf numFmtId="43" fontId="2" fillId="5" borderId="1" xfId="0" applyNumberFormat="1" applyFont="1" applyFill="1" applyBorder="1"/>
    <xf numFmtId="0" fontId="4" fillId="6" borderId="1" xfId="0" quotePrefix="1" applyFont="1" applyFill="1" applyBorder="1"/>
    <xf numFmtId="0" fontId="0" fillId="2" borderId="1" xfId="0" quotePrefix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5" xfId="0" quotePrefix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43" fontId="9" fillId="2" borderId="5" xfId="0" applyNumberFormat="1" applyFont="1" applyFill="1" applyBorder="1"/>
    <xf numFmtId="0" fontId="9" fillId="2" borderId="5" xfId="0" applyFont="1" applyFill="1" applyBorder="1"/>
    <xf numFmtId="0" fontId="4" fillId="6" borderId="1" xfId="0" quotePrefix="1" applyFont="1" applyFill="1" applyBorder="1" applyAlignment="1">
      <alignment vertical="center"/>
    </xf>
    <xf numFmtId="0" fontId="4" fillId="6" borderId="0" xfId="0" applyFont="1" applyFill="1" applyAlignment="1">
      <alignment vertical="center" wrapText="1"/>
    </xf>
    <xf numFmtId="0" fontId="8" fillId="5" borderId="1" xfId="0" applyFont="1" applyFill="1" applyBorder="1" applyAlignment="1">
      <alignment vertical="center"/>
    </xf>
    <xf numFmtId="43" fontId="8" fillId="5" borderId="1" xfId="0" applyNumberFormat="1" applyFont="1" applyFill="1" applyBorder="1" applyAlignment="1">
      <alignment vertical="center"/>
    </xf>
    <xf numFmtId="43" fontId="0" fillId="6" borderId="1" xfId="0" applyNumberFormat="1" applyFill="1" applyBorder="1"/>
    <xf numFmtId="0" fontId="0" fillId="10" borderId="1" xfId="0" applyFill="1" applyBorder="1"/>
    <xf numFmtId="4" fontId="0" fillId="10" borderId="1" xfId="0" applyNumberFormat="1" applyFill="1" applyBorder="1"/>
    <xf numFmtId="4" fontId="0" fillId="2" borderId="1" xfId="0" applyNumberForma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3" fontId="2" fillId="0" borderId="0" xfId="0" applyNumberFormat="1" applyFont="1"/>
    <xf numFmtId="4" fontId="2" fillId="7" borderId="0" xfId="0" applyNumberFormat="1" applyFont="1" applyFill="1"/>
    <xf numFmtId="3" fontId="2" fillId="0" borderId="0" xfId="0" applyNumberFormat="1" applyFont="1" applyBorder="1"/>
    <xf numFmtId="9" fontId="0" fillId="0" borderId="1" xfId="0" applyNumberFormat="1" applyBorder="1"/>
    <xf numFmtId="43" fontId="0" fillId="0" borderId="1" xfId="0" applyNumberFormat="1" applyBorder="1" applyAlignment="1">
      <alignment horizontal="right"/>
    </xf>
    <xf numFmtId="4" fontId="0" fillId="0" borderId="0" xfId="0" applyNumberFormat="1" applyBorder="1"/>
    <xf numFmtId="43" fontId="0" fillId="0" borderId="0" xfId="0" applyNumberFormat="1" applyBorder="1" applyAlignment="1">
      <alignment horizontal="right"/>
    </xf>
    <xf numFmtId="4" fontId="0" fillId="0" borderId="0" xfId="0" applyNumberFormat="1"/>
    <xf numFmtId="4" fontId="15" fillId="2" borderId="0" xfId="0" applyNumberFormat="1" applyFont="1" applyFill="1"/>
    <xf numFmtId="43" fontId="0" fillId="0" borderId="1" xfId="0" applyNumberFormat="1" applyBorder="1"/>
    <xf numFmtId="43" fontId="3" fillId="7" borderId="0" xfId="0" applyNumberFormat="1" applyFont="1" applyFill="1"/>
    <xf numFmtId="0" fontId="2" fillId="0" borderId="0" xfId="0" applyFont="1" applyBorder="1"/>
    <xf numFmtId="43" fontId="0" fillId="0" borderId="0" xfId="0" applyNumberFormat="1" applyBorder="1"/>
    <xf numFmtId="43" fontId="0" fillId="11" borderId="1" xfId="0" applyNumberFormat="1" applyFill="1" applyBorder="1"/>
    <xf numFmtId="0" fontId="0" fillId="0" borderId="0" xfId="0" applyBorder="1"/>
    <xf numFmtId="43" fontId="0" fillId="2" borderId="0" xfId="0" applyNumberFormat="1" applyFill="1" applyBorder="1"/>
    <xf numFmtId="43" fontId="0" fillId="0" borderId="0" xfId="0" applyNumberFormat="1"/>
    <xf numFmtId="0" fontId="0" fillId="0" borderId="1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/>
    <xf numFmtId="4" fontId="0" fillId="0" borderId="1" xfId="0" applyNumberFormat="1" applyBorder="1"/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3" fontId="2" fillId="1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9" borderId="0" xfId="0" applyFill="1"/>
    <xf numFmtId="0" fontId="2" fillId="2" borderId="0" xfId="0" applyFont="1" applyFill="1" applyAlignment="1">
      <alignment wrapText="1"/>
    </xf>
    <xf numFmtId="0" fontId="0" fillId="0" borderId="0" xfId="0" applyAlignment="1">
      <alignment vertical="center"/>
    </xf>
    <xf numFmtId="0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43" fontId="0" fillId="7" borderId="1" xfId="0" applyNumberFormat="1" applyFill="1" applyBorder="1"/>
    <xf numFmtId="0" fontId="0" fillId="7" borderId="1" xfId="0" applyFill="1" applyBorder="1" applyAlignment="1">
      <alignment horizontal="right"/>
    </xf>
    <xf numFmtId="0" fontId="0" fillId="7" borderId="0" xfId="0" applyFill="1"/>
    <xf numFmtId="4" fontId="0" fillId="7" borderId="0" xfId="0" applyNumberFormat="1" applyFill="1"/>
    <xf numFmtId="0" fontId="2" fillId="7" borderId="1" xfId="0" applyFont="1" applyFill="1" applyBorder="1"/>
    <xf numFmtId="43" fontId="2" fillId="7" borderId="1" xfId="0" applyNumberFormat="1" applyFont="1" applyFill="1" applyBorder="1"/>
    <xf numFmtId="4" fontId="0" fillId="7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3" fontId="0" fillId="7" borderId="0" xfId="0" applyNumberFormat="1" applyFill="1"/>
    <xf numFmtId="3" fontId="0" fillId="11" borderId="0" xfId="0" applyNumberFormat="1" applyFill="1"/>
    <xf numFmtId="0" fontId="2" fillId="11" borderId="1" xfId="0" applyFont="1" applyFill="1" applyBorder="1" applyAlignment="1">
      <alignment horizontal="center" vertical="center"/>
    </xf>
    <xf numFmtId="0" fontId="0" fillId="11" borderId="0" xfId="0" applyFill="1"/>
    <xf numFmtId="0" fontId="9" fillId="0" borderId="0" xfId="0" applyFont="1"/>
    <xf numFmtId="43" fontId="10" fillId="7" borderId="1" xfId="0" applyNumberFormat="1" applyFont="1" applyFill="1" applyBorder="1"/>
    <xf numFmtId="43" fontId="4" fillId="2" borderId="1" xfId="0" applyNumberFormat="1" applyFont="1" applyFill="1" applyBorder="1"/>
    <xf numFmtId="0" fontId="9" fillId="7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/>
    </xf>
    <xf numFmtId="4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9" borderId="0" xfId="0" applyFont="1" applyFill="1"/>
    <xf numFmtId="43" fontId="9" fillId="9" borderId="1" xfId="0" applyNumberFormat="1" applyFont="1" applyFill="1" applyBorder="1" applyAlignment="1">
      <alignment vertical="center"/>
    </xf>
    <xf numFmtId="4" fontId="0" fillId="7" borderId="1" xfId="0" applyNumberFormat="1" applyFill="1" applyBorder="1"/>
    <xf numFmtId="0" fontId="0" fillId="2" borderId="1" xfId="0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4" fontId="0" fillId="7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7" borderId="0" xfId="0" applyFont="1" applyFill="1" applyAlignment="1">
      <alignment vertical="center" wrapText="1"/>
    </xf>
    <xf numFmtId="43" fontId="2" fillId="7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9" fillId="7" borderId="1" xfId="0" quotePrefix="1" applyFont="1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/>
    </xf>
    <xf numFmtId="43" fontId="9" fillId="7" borderId="1" xfId="0" applyNumberFormat="1" applyFont="1" applyFill="1" applyBorder="1" applyAlignment="1">
      <alignment horizontal="left"/>
    </xf>
    <xf numFmtId="43" fontId="13" fillId="7" borderId="1" xfId="0" applyNumberFormat="1" applyFont="1" applyFill="1" applyBorder="1"/>
    <xf numFmtId="0" fontId="13" fillId="7" borderId="1" xfId="0" applyFont="1" applyFill="1" applyBorder="1"/>
    <xf numFmtId="0" fontId="2" fillId="7" borderId="0" xfId="0" applyFont="1" applyFill="1"/>
    <xf numFmtId="0" fontId="9" fillId="7" borderId="0" xfId="0" applyFont="1" applyFill="1"/>
    <xf numFmtId="43" fontId="10" fillId="9" borderId="1" xfId="0" applyNumberFormat="1" applyFont="1" applyFill="1" applyBorder="1"/>
    <xf numFmtId="43" fontId="9" fillId="9" borderId="1" xfId="0" applyNumberFormat="1" applyFont="1" applyFill="1" applyBorder="1"/>
    <xf numFmtId="9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9" fillId="2" borderId="0" xfId="0" applyFont="1" applyFill="1"/>
    <xf numFmtId="0" fontId="2" fillId="2" borderId="0" xfId="0" applyFont="1" applyFill="1"/>
    <xf numFmtId="0" fontId="9" fillId="7" borderId="1" xfId="0" quotePrefix="1" applyFont="1" applyFill="1" applyBorder="1"/>
    <xf numFmtId="0" fontId="0" fillId="2" borderId="1" xfId="0" applyFill="1" applyBorder="1" applyAlignment="1">
      <alignment horizontal="center" vertical="center" wrapText="1"/>
    </xf>
    <xf numFmtId="43" fontId="0" fillId="2" borderId="0" xfId="0" applyNumberFormat="1" applyFill="1"/>
    <xf numFmtId="0" fontId="7" fillId="0" borderId="0" xfId="0" applyFont="1"/>
    <xf numFmtId="3" fontId="0" fillId="0" borderId="7" xfId="0" applyNumberFormat="1" applyBorder="1"/>
    <xf numFmtId="0" fontId="0" fillId="0" borderId="8" xfId="0" applyBorder="1"/>
    <xf numFmtId="3" fontId="0" fillId="0" borderId="9" xfId="0" applyNumberFormat="1" applyBorder="1"/>
    <xf numFmtId="0" fontId="0" fillId="0" borderId="10" xfId="0" applyBorder="1"/>
    <xf numFmtId="3" fontId="0" fillId="7" borderId="11" xfId="0" applyNumberFormat="1" applyFill="1" applyBorder="1"/>
    <xf numFmtId="0" fontId="0" fillId="0" borderId="12" xfId="0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7" borderId="16" xfId="0" applyNumberFormat="1" applyFill="1" applyBorder="1"/>
    <xf numFmtId="4" fontId="9" fillId="7" borderId="1" xfId="0" applyNumberFormat="1" applyFont="1" applyFill="1" applyBorder="1"/>
    <xf numFmtId="4" fontId="0" fillId="2" borderId="0" xfId="0" applyNumberFormat="1" applyFill="1"/>
    <xf numFmtId="41" fontId="0" fillId="0" borderId="0" xfId="0" applyNumberFormat="1"/>
    <xf numFmtId="41" fontId="0" fillId="7" borderId="0" xfId="0" applyNumberFormat="1" applyFill="1"/>
    <xf numFmtId="0" fontId="0" fillId="2" borderId="1" xfId="0" applyFill="1" applyBorder="1" applyAlignment="1">
      <alignment horizontal="center" vertical="center" wrapText="1"/>
    </xf>
    <xf numFmtId="0" fontId="13" fillId="2" borderId="1" xfId="0" quotePrefix="1" applyFont="1" applyFill="1" applyBorder="1"/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0" fillId="0" borderId="0" xfId="0" applyFont="1"/>
    <xf numFmtId="0" fontId="0" fillId="2" borderId="1" xfId="0" applyFill="1" applyBorder="1" applyAlignment="1">
      <alignment horizontal="center" vertical="center" wrapText="1"/>
    </xf>
    <xf numFmtId="4" fontId="2" fillId="0" borderId="1" xfId="0" applyNumberFormat="1" applyFont="1" applyBorder="1"/>
    <xf numFmtId="39" fontId="2" fillId="0" borderId="1" xfId="0" applyNumberFormat="1" applyFont="1" applyBorder="1" applyAlignment="1">
      <alignment horizontal="right" vertical="center"/>
    </xf>
    <xf numFmtId="3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3" fontId="0" fillId="7" borderId="0" xfId="0" applyNumberFormat="1" applyFill="1"/>
    <xf numFmtId="43" fontId="3" fillId="7" borderId="1" xfId="0" applyNumberFormat="1" applyFont="1" applyFill="1" applyBorder="1"/>
    <xf numFmtId="0" fontId="0" fillId="7" borderId="1" xfId="0" applyFill="1" applyBorder="1"/>
    <xf numFmtId="166" fontId="0" fillId="0" borderId="0" xfId="1" applyNumberFormat="1" applyFont="1"/>
    <xf numFmtId="0" fontId="10" fillId="7" borderId="1" xfId="0" applyFont="1" applyFill="1" applyBorder="1"/>
    <xf numFmtId="43" fontId="7" fillId="7" borderId="0" xfId="0" applyNumberFormat="1" applyFont="1" applyFill="1"/>
    <xf numFmtId="43" fontId="14" fillId="7" borderId="0" xfId="0" applyNumberFormat="1" applyFont="1" applyFill="1"/>
    <xf numFmtId="0" fontId="9" fillId="7" borderId="1" xfId="0" quotePrefix="1" applyFont="1" applyFill="1" applyBorder="1" applyAlignment="1">
      <alignment horizontal="left"/>
    </xf>
    <xf numFmtId="0" fontId="14" fillId="2" borderId="1" xfId="0" applyFont="1" applyFill="1" applyBorder="1" applyAlignment="1">
      <alignment wrapText="1"/>
    </xf>
    <xf numFmtId="43" fontId="14" fillId="2" borderId="1" xfId="0" applyNumberFormat="1" applyFont="1" applyFill="1" applyBorder="1"/>
    <xf numFmtId="43" fontId="14" fillId="7" borderId="1" xfId="0" applyNumberFormat="1" applyFont="1" applyFill="1" applyBorder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/>
    <xf numFmtId="0" fontId="2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wrapText="1"/>
    </xf>
    <xf numFmtId="43" fontId="2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43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43" fontId="0" fillId="0" borderId="1" xfId="0" applyNumberForma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22" fillId="0" borderId="0" xfId="0" applyFont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quotePrefix="1" applyBorder="1" applyAlignment="1">
      <alignment horizontal="right" vertical="center" wrapText="1"/>
    </xf>
    <xf numFmtId="4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4" fontId="25" fillId="0" borderId="0" xfId="0" applyNumberFormat="1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0" xfId="1" applyNumberFormat="1" applyFont="1" applyBorder="1"/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4" fillId="2" borderId="1" xfId="0" quotePrefix="1" applyFont="1" applyFill="1" applyBorder="1"/>
    <xf numFmtId="43" fontId="14" fillId="7" borderId="1" xfId="0" applyNumberFormat="1" applyFont="1" applyFill="1" applyBorder="1"/>
    <xf numFmtId="43" fontId="9" fillId="11" borderId="1" xfId="0" applyNumberFormat="1" applyFont="1" applyFill="1" applyBorder="1" applyAlignment="1">
      <alignment vertical="center"/>
    </xf>
    <xf numFmtId="43" fontId="9" fillId="11" borderId="1" xfId="0" applyNumberFormat="1" applyFont="1" applyFill="1" applyBorder="1"/>
    <xf numFmtId="0" fontId="9" fillId="11" borderId="1" xfId="0" applyFont="1" applyFill="1" applyBorder="1"/>
    <xf numFmtId="43" fontId="14" fillId="11" borderId="1" xfId="0" applyNumberFormat="1" applyFont="1" applyFill="1" applyBorder="1"/>
    <xf numFmtId="43" fontId="14" fillId="11" borderId="1" xfId="0" applyNumberFormat="1" applyFont="1" applyFill="1" applyBorder="1" applyAlignment="1">
      <alignment vertical="center"/>
    </xf>
    <xf numFmtId="0" fontId="10" fillId="11" borderId="1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/>
    <xf numFmtId="4" fontId="7" fillId="7" borderId="0" xfId="0" applyNumberFormat="1" applyFont="1" applyFill="1"/>
    <xf numFmtId="4" fontId="9" fillId="0" borderId="0" xfId="0" applyNumberFormat="1" applyFont="1"/>
    <xf numFmtId="4" fontId="14" fillId="7" borderId="0" xfId="0" applyNumberFormat="1" applyFont="1" applyFill="1"/>
    <xf numFmtId="4" fontId="10" fillId="0" borderId="0" xfId="0" applyNumberFormat="1" applyFont="1"/>
    <xf numFmtId="4" fontId="2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vertical="center"/>
    </xf>
    <xf numFmtId="4" fontId="9" fillId="2" borderId="0" xfId="0" applyNumberFormat="1" applyFont="1" applyFill="1"/>
    <xf numFmtId="4" fontId="0" fillId="0" borderId="0" xfId="1" applyNumberFormat="1" applyFont="1"/>
    <xf numFmtId="4" fontId="0" fillId="0" borderId="1" xfId="0" applyNumberFormat="1" applyBorder="1" applyAlignment="1">
      <alignment horizontal="right"/>
    </xf>
    <xf numFmtId="4" fontId="0" fillId="11" borderId="1" xfId="0" applyNumberFormat="1" applyFill="1" applyBorder="1"/>
    <xf numFmtId="4" fontId="0" fillId="2" borderId="0" xfId="0" applyNumberFormat="1" applyFill="1" applyBorder="1"/>
    <xf numFmtId="4" fontId="2" fillId="1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11" borderId="1" xfId="0" applyFont="1" applyFill="1" applyBorder="1" applyAlignment="1">
      <alignment vertical="center" wrapText="1"/>
    </xf>
    <xf numFmtId="4" fontId="0" fillId="0" borderId="0" xfId="0" applyNumberFormat="1" applyAlignment="1">
      <alignment horizontal="left" vertical="center"/>
    </xf>
    <xf numFmtId="0" fontId="9" fillId="13" borderId="1" xfId="0" applyFont="1" applyFill="1" applyBorder="1"/>
    <xf numFmtId="0" fontId="9" fillId="12" borderId="1" xfId="0" applyFont="1" applyFill="1" applyBorder="1"/>
    <xf numFmtId="4" fontId="0" fillId="0" borderId="0" xfId="0" applyNumberFormat="1" applyAlignment="1">
      <alignment horizontal="left"/>
    </xf>
    <xf numFmtId="0" fontId="14" fillId="7" borderId="1" xfId="0" applyFont="1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vertical="center"/>
    </xf>
    <xf numFmtId="0" fontId="2" fillId="13" borderId="1" xfId="0" applyFont="1" applyFill="1" applyBorder="1" applyAlignment="1">
      <alignment vertical="center"/>
    </xf>
    <xf numFmtId="0" fontId="10" fillId="13" borderId="1" xfId="0" applyFont="1" applyFill="1" applyBorder="1"/>
    <xf numFmtId="0" fontId="10" fillId="13" borderId="1" xfId="0" applyFont="1" applyFill="1" applyBorder="1" applyAlignment="1">
      <alignment vertical="center"/>
    </xf>
    <xf numFmtId="0" fontId="2" fillId="13" borderId="1" xfId="0" applyFont="1" applyFill="1" applyBorder="1"/>
    <xf numFmtId="0" fontId="9" fillId="12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vertical="center"/>
    </xf>
    <xf numFmtId="0" fontId="13" fillId="12" borderId="1" xfId="0" applyFont="1" applyFill="1" applyBorder="1"/>
    <xf numFmtId="0" fontId="0" fillId="14" borderId="1" xfId="0" applyFill="1" applyBorder="1"/>
    <xf numFmtId="4" fontId="0" fillId="0" borderId="0" xfId="1" applyNumberFormat="1" applyFont="1" applyAlignment="1">
      <alignment horizontal="left" vertical="center"/>
    </xf>
    <xf numFmtId="0" fontId="10" fillId="7" borderId="1" xfId="0" applyFont="1" applyFill="1" applyBorder="1" applyAlignment="1">
      <alignment vertical="center"/>
    </xf>
    <xf numFmtId="0" fontId="0" fillId="11" borderId="1" xfId="0" applyFill="1" applyBorder="1"/>
    <xf numFmtId="0" fontId="3" fillId="15" borderId="1" xfId="0" applyFont="1" applyFill="1" applyBorder="1" applyAlignment="1">
      <alignment vertical="center"/>
    </xf>
    <xf numFmtId="0" fontId="2" fillId="15" borderId="1" xfId="0" applyFont="1" applyFill="1" applyBorder="1" applyAlignment="1">
      <alignment vertical="center"/>
    </xf>
    <xf numFmtId="0" fontId="9" fillId="15" borderId="1" xfId="0" applyFont="1" applyFill="1" applyBorder="1"/>
    <xf numFmtId="0" fontId="0" fillId="15" borderId="1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7" borderId="4" xfId="0" applyNumberFormat="1" applyFill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/>
    </xf>
    <xf numFmtId="39" fontId="0" fillId="7" borderId="0" xfId="0" applyNumberFormat="1" applyFill="1" applyAlignment="1">
      <alignment horizontal="center"/>
    </xf>
    <xf numFmtId="39" fontId="0" fillId="11" borderId="0" xfId="0" applyNumberForma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REMBUG%20STUNTING/kegiat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J3">
            <v>56400000</v>
          </cell>
          <cell r="K3">
            <v>500000000</v>
          </cell>
          <cell r="L3">
            <v>38000000</v>
          </cell>
          <cell r="M3">
            <v>5000000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pane ySplit="5" topLeftCell="A42" activePane="bottomLeft" state="frozen"/>
      <selection pane="bottomLeft" activeCell="G73" sqref="G73"/>
    </sheetView>
  </sheetViews>
  <sheetFormatPr defaultRowHeight="15" x14ac:dyDescent="0.25"/>
  <cols>
    <col min="1" max="1" width="2.28515625" customWidth="1"/>
    <col min="2" max="2" width="49.140625" customWidth="1"/>
    <col min="3" max="3" width="12.85546875" customWidth="1"/>
    <col min="4" max="4" width="12.28515625" style="1" customWidth="1"/>
    <col min="5" max="5" width="11.28515625" style="1" customWidth="1"/>
    <col min="6" max="8" width="12.7109375" style="1" customWidth="1"/>
    <col min="9" max="9" width="11.5703125" style="1" customWidth="1"/>
    <col min="10" max="10" width="12" style="1" customWidth="1"/>
    <col min="11" max="11" width="11.42578125" style="1" customWidth="1"/>
  </cols>
  <sheetData>
    <row r="1" spans="1:11" x14ac:dyDescent="0.25">
      <c r="A1" s="374" t="s">
        <v>79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 x14ac:dyDescent="0.25">
      <c r="A2" s="20"/>
      <c r="B2" s="375" t="s">
        <v>80</v>
      </c>
      <c r="C2" s="376"/>
      <c r="D2" s="21" t="s">
        <v>0</v>
      </c>
      <c r="E2" s="21" t="s">
        <v>1</v>
      </c>
      <c r="F2" s="21" t="s">
        <v>2</v>
      </c>
      <c r="G2" s="21" t="s">
        <v>3</v>
      </c>
      <c r="H2" s="21" t="s">
        <v>4</v>
      </c>
      <c r="I2" s="21" t="s">
        <v>5</v>
      </c>
      <c r="J2" s="21" t="s">
        <v>6</v>
      </c>
      <c r="K2" s="21" t="s">
        <v>9</v>
      </c>
    </row>
    <row r="3" spans="1:11" x14ac:dyDescent="0.25">
      <c r="A3" s="20"/>
      <c r="B3" s="375" t="s">
        <v>7</v>
      </c>
      <c r="C3" s="376"/>
      <c r="D3" s="21">
        <v>635879400</v>
      </c>
      <c r="E3" s="21">
        <v>113973600</v>
      </c>
      <c r="F3" s="21">
        <v>34500800</v>
      </c>
      <c r="G3" s="21">
        <v>893505300</v>
      </c>
      <c r="H3" s="21">
        <v>18000000</v>
      </c>
      <c r="I3" s="21">
        <v>500000000</v>
      </c>
      <c r="J3" s="21">
        <v>38000000</v>
      </c>
      <c r="K3" s="21">
        <v>5000000</v>
      </c>
    </row>
    <row r="4" spans="1:11" x14ac:dyDescent="0.25">
      <c r="A4" s="20"/>
      <c r="B4" s="375" t="s">
        <v>8</v>
      </c>
      <c r="C4" s="376"/>
      <c r="D4" s="21">
        <f t="shared" ref="D4:K4" si="0">SUM(D9:D95)</f>
        <v>647914636</v>
      </c>
      <c r="E4" s="21">
        <f t="shared" si="0"/>
        <v>111800000</v>
      </c>
      <c r="F4" s="21">
        <f t="shared" si="0"/>
        <v>33000000</v>
      </c>
      <c r="G4" s="21">
        <f t="shared" si="0"/>
        <v>494300000</v>
      </c>
      <c r="H4" s="21">
        <f t="shared" si="0"/>
        <v>18000000</v>
      </c>
      <c r="I4" s="21">
        <f t="shared" si="0"/>
        <v>500000000</v>
      </c>
      <c r="J4" s="21">
        <f t="shared" si="0"/>
        <v>34700000</v>
      </c>
      <c r="K4" s="21">
        <f t="shared" si="0"/>
        <v>5000000</v>
      </c>
    </row>
    <row r="5" spans="1:11" x14ac:dyDescent="0.25">
      <c r="A5" s="20"/>
      <c r="B5" s="375" t="s">
        <v>11</v>
      </c>
      <c r="C5" s="376"/>
      <c r="D5" s="21">
        <f>D3-D4</f>
        <v>-12035236</v>
      </c>
      <c r="E5" s="21">
        <f t="shared" ref="E5:K5" si="1">E3-E4</f>
        <v>2173600</v>
      </c>
      <c r="F5" s="21">
        <f t="shared" si="1"/>
        <v>1500800</v>
      </c>
      <c r="G5" s="21">
        <f t="shared" si="1"/>
        <v>399205300</v>
      </c>
      <c r="H5" s="21">
        <f t="shared" si="1"/>
        <v>0</v>
      </c>
      <c r="I5" s="21">
        <f t="shared" si="1"/>
        <v>0</v>
      </c>
      <c r="J5" s="21">
        <f t="shared" si="1"/>
        <v>3300000</v>
      </c>
      <c r="K5" s="21">
        <f t="shared" si="1"/>
        <v>0</v>
      </c>
    </row>
    <row r="6" spans="1:11" x14ac:dyDescent="0.25">
      <c r="A6" s="20"/>
      <c r="B6" s="20" t="s">
        <v>10</v>
      </c>
      <c r="C6" s="22" t="s">
        <v>12</v>
      </c>
      <c r="D6" s="23"/>
      <c r="E6" s="23"/>
      <c r="F6" s="23"/>
      <c r="G6" s="23"/>
      <c r="H6" s="23"/>
      <c r="I6" s="23"/>
      <c r="J6" s="23"/>
      <c r="K6" s="23"/>
    </row>
    <row r="7" spans="1:11" x14ac:dyDescent="0.25">
      <c r="A7" s="20"/>
      <c r="B7" s="7" t="s">
        <v>21</v>
      </c>
      <c r="C7" s="24">
        <f>C8+C16+C20+C25+C32</f>
        <v>1294914636</v>
      </c>
      <c r="D7" s="23"/>
      <c r="E7" s="23"/>
      <c r="F7" s="23"/>
      <c r="G7" s="23"/>
      <c r="H7" s="23"/>
      <c r="I7" s="23"/>
      <c r="J7" s="23"/>
      <c r="K7" s="23"/>
    </row>
    <row r="8" spans="1:11" ht="45" x14ac:dyDescent="0.25">
      <c r="A8" s="20"/>
      <c r="B8" s="6" t="s">
        <v>20</v>
      </c>
      <c r="C8" s="24">
        <f>C9+C10+C11+C12+C13+C14+C15</f>
        <v>696914636</v>
      </c>
      <c r="D8" s="23"/>
      <c r="E8" s="23"/>
      <c r="F8" s="23"/>
      <c r="G8" s="23"/>
      <c r="H8" s="23"/>
      <c r="I8" s="23"/>
      <c r="J8" s="23"/>
      <c r="K8" s="23"/>
    </row>
    <row r="9" spans="1:11" ht="30" x14ac:dyDescent="0.25">
      <c r="A9" s="20"/>
      <c r="B9" s="2" t="s">
        <v>15</v>
      </c>
      <c r="C9" s="23">
        <f>SUM(D9:K9)</f>
        <v>77111000</v>
      </c>
      <c r="D9" s="23">
        <f>'UNTUK RKP'!E6-'UNTUK RKP'!E9</f>
        <v>75711000</v>
      </c>
      <c r="E9" s="23"/>
      <c r="F9" s="23"/>
      <c r="G9" s="23"/>
      <c r="H9" s="23"/>
      <c r="I9" s="23"/>
      <c r="J9" s="23">
        <f>'UNTUK RKP'!E9</f>
        <v>1400000</v>
      </c>
      <c r="K9" s="23"/>
    </row>
    <row r="10" spans="1:11" ht="30" x14ac:dyDescent="0.25">
      <c r="A10" s="20"/>
      <c r="B10" s="2" t="s">
        <v>14</v>
      </c>
      <c r="C10" s="23">
        <f>SUM(D10:K10)</f>
        <v>409537200</v>
      </c>
      <c r="D10" s="23">
        <f>'UNTUK RKP'!E11-'UNTUK RKP'!E18</f>
        <v>404137200</v>
      </c>
      <c r="E10" s="23"/>
      <c r="F10" s="23"/>
      <c r="G10" s="23"/>
      <c r="H10" s="23"/>
      <c r="I10" s="23"/>
      <c r="J10" s="23">
        <f>'UNTUK RKP'!E18</f>
        <v>5400000</v>
      </c>
      <c r="K10" s="23"/>
    </row>
    <row r="11" spans="1:11" ht="30" x14ac:dyDescent="0.25">
      <c r="A11" s="20"/>
      <c r="B11" s="2" t="s">
        <v>13</v>
      </c>
      <c r="C11" s="23">
        <f t="shared" ref="C11:C66" si="2">SUM(D11:K11)</f>
        <v>19839372</v>
      </c>
      <c r="D11" s="23">
        <v>19839372</v>
      </c>
      <c r="E11" s="23"/>
      <c r="F11" s="23"/>
      <c r="G11" s="23"/>
      <c r="H11" s="23"/>
      <c r="I11" s="23"/>
      <c r="J11" s="23"/>
      <c r="K11" s="23"/>
    </row>
    <row r="12" spans="1:11" x14ac:dyDescent="0.25">
      <c r="A12" s="20"/>
      <c r="B12" s="4" t="s">
        <v>16</v>
      </c>
      <c r="C12" s="23">
        <f t="shared" si="2"/>
        <v>110927064</v>
      </c>
      <c r="D12" s="23">
        <v>52127064</v>
      </c>
      <c r="E12" s="23">
        <v>31800000</v>
      </c>
      <c r="F12" s="23">
        <v>7000000</v>
      </c>
      <c r="G12" s="23"/>
      <c r="H12" s="23"/>
      <c r="I12" s="23"/>
      <c r="J12" s="23">
        <v>16000000</v>
      </c>
      <c r="K12" s="23">
        <v>4000000</v>
      </c>
    </row>
    <row r="13" spans="1:11" x14ac:dyDescent="0.25">
      <c r="A13" s="20"/>
      <c r="B13" s="5" t="s">
        <v>17</v>
      </c>
      <c r="C13" s="23">
        <f t="shared" si="2"/>
        <v>56500000</v>
      </c>
      <c r="D13" s="23">
        <f>'UNTUK RKP'!E50-'UNTUK RKP'!E52</f>
        <v>52500000</v>
      </c>
      <c r="E13" s="23"/>
      <c r="F13" s="23"/>
      <c r="G13" s="23"/>
      <c r="H13" s="23"/>
      <c r="I13" s="23"/>
      <c r="J13" s="23">
        <f>'UNTUK RKP'!E52</f>
        <v>4000000</v>
      </c>
      <c r="K13" s="23"/>
    </row>
    <row r="14" spans="1:11" x14ac:dyDescent="0.25">
      <c r="A14" s="20"/>
      <c r="B14" s="5" t="s">
        <v>18</v>
      </c>
      <c r="C14" s="23">
        <f t="shared" si="2"/>
        <v>5000000</v>
      </c>
      <c r="D14" s="23"/>
      <c r="E14" s="23"/>
      <c r="F14" s="23"/>
      <c r="G14" s="23"/>
      <c r="H14" s="23"/>
      <c r="I14" s="23"/>
      <c r="J14" s="23">
        <v>5000000</v>
      </c>
      <c r="K14" s="23"/>
    </row>
    <row r="15" spans="1:11" x14ac:dyDescent="0.25">
      <c r="A15" s="20"/>
      <c r="B15" s="5" t="s">
        <v>19</v>
      </c>
      <c r="C15" s="23">
        <f t="shared" si="2"/>
        <v>18000000</v>
      </c>
      <c r="D15" s="23"/>
      <c r="E15" s="23"/>
      <c r="F15" s="23"/>
      <c r="G15" s="23"/>
      <c r="H15" s="23">
        <v>18000000</v>
      </c>
      <c r="I15" s="23"/>
      <c r="J15" s="23"/>
      <c r="K15" s="23"/>
    </row>
    <row r="16" spans="1:11" x14ac:dyDescent="0.25">
      <c r="A16" s="20"/>
      <c r="B16" s="8" t="s">
        <v>25</v>
      </c>
      <c r="C16" s="25">
        <f>C17+C18+C19</f>
        <v>534500000</v>
      </c>
      <c r="D16" s="23"/>
      <c r="E16" s="23"/>
      <c r="F16" s="23"/>
      <c r="G16" s="23"/>
      <c r="H16" s="23"/>
      <c r="I16" s="23"/>
      <c r="J16" s="23"/>
      <c r="K16" s="23"/>
    </row>
    <row r="17" spans="1:11" x14ac:dyDescent="0.25">
      <c r="A17" s="20"/>
      <c r="B17" s="5" t="s">
        <v>22</v>
      </c>
      <c r="C17" s="23">
        <f t="shared" si="2"/>
        <v>15000000</v>
      </c>
      <c r="D17" s="23"/>
      <c r="E17" s="23">
        <v>15000000</v>
      </c>
      <c r="F17" s="23"/>
      <c r="G17" s="23"/>
      <c r="H17" s="23"/>
      <c r="I17" s="23"/>
      <c r="J17" s="23"/>
      <c r="K17" s="23"/>
    </row>
    <row r="18" spans="1:11" x14ac:dyDescent="0.25">
      <c r="A18" s="20"/>
      <c r="B18" s="3" t="s">
        <v>23</v>
      </c>
      <c r="C18" s="23">
        <f t="shared" si="2"/>
        <v>19500000</v>
      </c>
      <c r="D18" s="23">
        <v>9600000</v>
      </c>
      <c r="E18" s="23">
        <v>3000000</v>
      </c>
      <c r="F18" s="23">
        <v>4000000</v>
      </c>
      <c r="G18" s="23"/>
      <c r="H18" s="23"/>
      <c r="I18" s="23"/>
      <c r="J18" s="23">
        <v>2900000</v>
      </c>
      <c r="K18" s="23"/>
    </row>
    <row r="19" spans="1:11" ht="30" x14ac:dyDescent="0.25">
      <c r="A19" s="20"/>
      <c r="B19" s="2" t="s">
        <v>24</v>
      </c>
      <c r="C19" s="23">
        <f t="shared" si="2"/>
        <v>500000000</v>
      </c>
      <c r="D19" s="23"/>
      <c r="E19" s="23"/>
      <c r="F19" s="23"/>
      <c r="G19" s="23"/>
      <c r="H19" s="23"/>
      <c r="I19" s="23">
        <v>500000000</v>
      </c>
      <c r="J19" s="23"/>
      <c r="K19" s="23"/>
    </row>
    <row r="20" spans="1:11" ht="30" x14ac:dyDescent="0.25">
      <c r="A20" s="20"/>
      <c r="B20" s="9" t="s">
        <v>26</v>
      </c>
      <c r="C20" s="25">
        <f>C21+C22+C23+C24</f>
        <v>16000000</v>
      </c>
      <c r="D20" s="23"/>
      <c r="E20" s="23"/>
      <c r="F20" s="23"/>
      <c r="G20" s="23"/>
      <c r="H20" s="23"/>
      <c r="I20" s="23"/>
      <c r="J20" s="23"/>
      <c r="K20" s="23"/>
    </row>
    <row r="21" spans="1:11" x14ac:dyDescent="0.25">
      <c r="A21" s="20"/>
      <c r="B21" s="3" t="s">
        <v>27</v>
      </c>
      <c r="C21" s="23">
        <f t="shared" si="2"/>
        <v>1000000</v>
      </c>
      <c r="D21" s="23"/>
      <c r="E21" s="23">
        <v>1000000</v>
      </c>
      <c r="F21" s="23"/>
      <c r="G21" s="23"/>
      <c r="H21" s="23"/>
      <c r="I21" s="23"/>
      <c r="J21" s="23"/>
      <c r="K21" s="23"/>
    </row>
    <row r="22" spans="1:11" x14ac:dyDescent="0.25">
      <c r="A22" s="20"/>
      <c r="B22" s="5" t="s">
        <v>28</v>
      </c>
      <c r="C22" s="23">
        <f t="shared" si="2"/>
        <v>12000000</v>
      </c>
      <c r="D22" s="23"/>
      <c r="E22" s="23"/>
      <c r="F22" s="23"/>
      <c r="G22" s="23">
        <v>12000000</v>
      </c>
      <c r="H22" s="23"/>
      <c r="I22" s="23"/>
      <c r="J22" s="23"/>
      <c r="K22" s="23"/>
    </row>
    <row r="23" spans="1:11" ht="30" x14ac:dyDescent="0.25">
      <c r="A23" s="20"/>
      <c r="B23" s="2" t="s">
        <v>29</v>
      </c>
      <c r="C23" s="23">
        <f t="shared" si="2"/>
        <v>1500000</v>
      </c>
      <c r="D23" s="23"/>
      <c r="E23" s="23"/>
      <c r="F23" s="23">
        <v>1500000</v>
      </c>
      <c r="G23" s="23"/>
      <c r="H23" s="23"/>
      <c r="I23" s="23"/>
      <c r="J23" s="23"/>
      <c r="K23" s="23"/>
    </row>
    <row r="24" spans="1:11" ht="30" x14ac:dyDescent="0.25">
      <c r="A24" s="20"/>
      <c r="B24" s="2" t="s">
        <v>30</v>
      </c>
      <c r="C24" s="23">
        <f t="shared" si="2"/>
        <v>1500000</v>
      </c>
      <c r="D24" s="23"/>
      <c r="E24" s="23">
        <v>1500000</v>
      </c>
      <c r="F24" s="23"/>
      <c r="G24" s="23"/>
      <c r="H24" s="23"/>
      <c r="I24" s="23"/>
      <c r="J24" s="23"/>
      <c r="K24" s="23"/>
    </row>
    <row r="25" spans="1:11" ht="30" x14ac:dyDescent="0.25">
      <c r="A25" s="20"/>
      <c r="B25" s="9" t="s">
        <v>31</v>
      </c>
      <c r="C25" s="25">
        <f>C26+C27+C28+C29+C30+C31</f>
        <v>43000000</v>
      </c>
      <c r="D25" s="23"/>
      <c r="E25" s="23"/>
      <c r="F25" s="23"/>
      <c r="G25" s="23"/>
      <c r="H25" s="23"/>
      <c r="I25" s="23"/>
      <c r="J25" s="23"/>
      <c r="K25" s="23"/>
    </row>
    <row r="26" spans="1:11" ht="30" x14ac:dyDescent="0.25">
      <c r="A26" s="20"/>
      <c r="B26" s="2" t="s">
        <v>32</v>
      </c>
      <c r="C26" s="23">
        <f t="shared" si="2"/>
        <v>2000000</v>
      </c>
      <c r="D26" s="23">
        <v>2000000</v>
      </c>
      <c r="E26" s="23"/>
      <c r="F26" s="23"/>
      <c r="G26" s="23"/>
      <c r="H26" s="23"/>
      <c r="I26" s="23"/>
      <c r="J26" s="23"/>
      <c r="K26" s="23"/>
    </row>
    <row r="27" spans="1:11" x14ac:dyDescent="0.25">
      <c r="A27" s="20"/>
      <c r="B27" s="5" t="s">
        <v>33</v>
      </c>
      <c r="C27" s="23">
        <f t="shared" si="2"/>
        <v>3000000</v>
      </c>
      <c r="D27" s="23"/>
      <c r="E27" s="23">
        <v>3000000</v>
      </c>
      <c r="F27" s="23"/>
      <c r="G27" s="23"/>
      <c r="H27" s="23"/>
      <c r="I27" s="23"/>
      <c r="J27" s="23"/>
      <c r="K27" s="23"/>
    </row>
    <row r="28" spans="1:11" ht="30" x14ac:dyDescent="0.25">
      <c r="A28" s="20"/>
      <c r="B28" s="2" t="s">
        <v>34</v>
      </c>
      <c r="C28" s="23">
        <f t="shared" si="2"/>
        <v>7000000</v>
      </c>
      <c r="D28" s="23"/>
      <c r="E28" s="23">
        <v>7000000</v>
      </c>
      <c r="F28" s="23"/>
      <c r="G28" s="23"/>
      <c r="H28" s="23"/>
      <c r="I28" s="23"/>
      <c r="J28" s="23"/>
      <c r="K28" s="23"/>
    </row>
    <row r="29" spans="1:11" x14ac:dyDescent="0.25">
      <c r="A29" s="20"/>
      <c r="B29" s="5" t="s">
        <v>35</v>
      </c>
      <c r="C29" s="23">
        <f t="shared" si="2"/>
        <v>22400000</v>
      </c>
      <c r="D29" s="23">
        <v>20400000</v>
      </c>
      <c r="E29" s="23"/>
      <c r="F29" s="23">
        <v>2000000</v>
      </c>
      <c r="G29" s="23"/>
      <c r="H29" s="23"/>
      <c r="I29" s="23"/>
      <c r="J29" s="23"/>
      <c r="K29" s="23"/>
    </row>
    <row r="30" spans="1:11" ht="30" x14ac:dyDescent="0.25">
      <c r="A30" s="20"/>
      <c r="B30" s="2" t="s">
        <v>36</v>
      </c>
      <c r="C30" s="23">
        <f t="shared" si="2"/>
        <v>2000000</v>
      </c>
      <c r="D30" s="23"/>
      <c r="E30" s="23">
        <v>2000000</v>
      </c>
      <c r="F30" s="23"/>
      <c r="G30" s="23"/>
      <c r="H30" s="23"/>
      <c r="I30" s="23"/>
      <c r="J30" s="23"/>
      <c r="K30" s="23"/>
    </row>
    <row r="31" spans="1:11" x14ac:dyDescent="0.25">
      <c r="A31" s="20"/>
      <c r="B31" s="5" t="s">
        <v>37</v>
      </c>
      <c r="C31" s="23">
        <f t="shared" si="2"/>
        <v>6600000</v>
      </c>
      <c r="D31" s="23">
        <v>6600000</v>
      </c>
      <c r="E31" s="23"/>
      <c r="F31" s="23"/>
      <c r="G31" s="23"/>
      <c r="H31" s="23"/>
      <c r="I31" s="23"/>
      <c r="J31" s="23"/>
      <c r="K31" s="23"/>
    </row>
    <row r="32" spans="1:11" x14ac:dyDescent="0.25">
      <c r="A32" s="20"/>
      <c r="B32" s="10" t="s">
        <v>38</v>
      </c>
      <c r="C32" s="25">
        <f>C33+C34</f>
        <v>4500000</v>
      </c>
      <c r="D32" s="23"/>
      <c r="E32" s="23"/>
      <c r="F32" s="23"/>
      <c r="G32" s="23"/>
      <c r="H32" s="23"/>
      <c r="I32" s="23"/>
      <c r="J32" s="23"/>
      <c r="K32" s="23"/>
    </row>
    <row r="33" spans="1:11" x14ac:dyDescent="0.25">
      <c r="A33" s="20"/>
      <c r="B33" s="2" t="s">
        <v>39</v>
      </c>
      <c r="C33" s="23">
        <f t="shared" si="2"/>
        <v>3000000</v>
      </c>
      <c r="D33" s="23"/>
      <c r="E33" s="23">
        <v>3000000</v>
      </c>
      <c r="F33" s="23"/>
      <c r="G33" s="23"/>
      <c r="H33" s="23"/>
      <c r="I33" s="23"/>
      <c r="J33" s="23"/>
      <c r="K33" s="23"/>
    </row>
    <row r="34" spans="1:11" x14ac:dyDescent="0.25">
      <c r="A34" s="20"/>
      <c r="B34" s="26" t="s">
        <v>40</v>
      </c>
      <c r="C34" s="23">
        <f t="shared" si="2"/>
        <v>1500000</v>
      </c>
      <c r="D34" s="23"/>
      <c r="E34" s="23">
        <v>1500000</v>
      </c>
      <c r="F34" s="23"/>
      <c r="G34" s="23"/>
      <c r="H34" s="23"/>
      <c r="I34" s="23"/>
      <c r="J34" s="23"/>
      <c r="K34" s="23"/>
    </row>
    <row r="35" spans="1:11" x14ac:dyDescent="0.25">
      <c r="A35" s="20"/>
      <c r="B35" s="11" t="s">
        <v>41</v>
      </c>
      <c r="C35" s="25">
        <f>C36+C41+C46</f>
        <v>222700000</v>
      </c>
      <c r="D35" s="23"/>
      <c r="E35" s="23"/>
      <c r="F35" s="23"/>
      <c r="G35" s="23"/>
      <c r="H35" s="23"/>
      <c r="I35" s="23"/>
      <c r="J35" s="23"/>
      <c r="K35" s="23"/>
    </row>
    <row r="36" spans="1:11" x14ac:dyDescent="0.25">
      <c r="A36" s="20"/>
      <c r="B36" s="10" t="s">
        <v>42</v>
      </c>
      <c r="C36" s="25">
        <f>C37+C38+C39+C40</f>
        <v>70700000</v>
      </c>
      <c r="D36" s="23"/>
      <c r="E36" s="23"/>
      <c r="F36" s="23"/>
      <c r="G36" s="23"/>
      <c r="H36" s="23"/>
      <c r="I36" s="23"/>
      <c r="J36" s="23"/>
      <c r="K36" s="23"/>
    </row>
    <row r="37" spans="1:11" ht="30" x14ac:dyDescent="0.25">
      <c r="A37" s="20"/>
      <c r="B37" s="2" t="s">
        <v>43</v>
      </c>
      <c r="C37" s="23">
        <f t="shared" si="2"/>
        <v>32400000</v>
      </c>
      <c r="D37" s="23"/>
      <c r="E37" s="23"/>
      <c r="F37" s="23"/>
      <c r="G37" s="23">
        <v>32400000</v>
      </c>
      <c r="H37" s="23"/>
      <c r="I37" s="23"/>
      <c r="J37" s="23"/>
      <c r="K37" s="23"/>
    </row>
    <row r="38" spans="1:11" ht="30" x14ac:dyDescent="0.25">
      <c r="A38" s="20"/>
      <c r="B38" s="2" t="s">
        <v>44</v>
      </c>
      <c r="C38" s="23">
        <f t="shared" si="2"/>
        <v>1800000</v>
      </c>
      <c r="D38" s="23"/>
      <c r="E38" s="23"/>
      <c r="F38" s="23"/>
      <c r="G38" s="23">
        <v>1800000</v>
      </c>
      <c r="H38" s="23"/>
      <c r="I38" s="23"/>
      <c r="J38" s="23"/>
      <c r="K38" s="23"/>
    </row>
    <row r="39" spans="1:11" ht="30" x14ac:dyDescent="0.25">
      <c r="A39" s="20"/>
      <c r="B39" s="2" t="s">
        <v>45</v>
      </c>
      <c r="C39" s="23">
        <f t="shared" si="2"/>
        <v>1000000</v>
      </c>
      <c r="D39" s="23"/>
      <c r="E39" s="23"/>
      <c r="F39" s="23"/>
      <c r="G39" s="23"/>
      <c r="H39" s="23"/>
      <c r="I39" s="23"/>
      <c r="J39" s="23"/>
      <c r="K39" s="23">
        <v>1000000</v>
      </c>
    </row>
    <row r="40" spans="1:11" x14ac:dyDescent="0.25">
      <c r="A40" s="20"/>
      <c r="B40" s="12" t="s">
        <v>46</v>
      </c>
      <c r="C40" s="23">
        <f t="shared" si="2"/>
        <v>35500000</v>
      </c>
      <c r="D40" s="23"/>
      <c r="E40" s="23"/>
      <c r="F40" s="23"/>
      <c r="G40" s="23">
        <v>35500000</v>
      </c>
      <c r="H40" s="23"/>
      <c r="I40" s="23"/>
      <c r="J40" s="23"/>
      <c r="K40" s="23"/>
    </row>
    <row r="41" spans="1:11" x14ac:dyDescent="0.25">
      <c r="A41" s="20"/>
      <c r="B41" s="6" t="s">
        <v>47</v>
      </c>
      <c r="C41" s="25">
        <f>C42+C43+C44+C45</f>
        <v>129600000</v>
      </c>
      <c r="D41" s="23"/>
      <c r="E41" s="23"/>
      <c r="F41" s="23"/>
      <c r="G41" s="23"/>
      <c r="H41" s="23"/>
      <c r="I41" s="23"/>
      <c r="J41" s="23"/>
      <c r="K41" s="23"/>
    </row>
    <row r="42" spans="1:11" x14ac:dyDescent="0.25">
      <c r="A42" s="20"/>
      <c r="B42" s="12" t="s">
        <v>48</v>
      </c>
      <c r="C42" s="23">
        <f t="shared" si="2"/>
        <v>109600000</v>
      </c>
      <c r="D42" s="23"/>
      <c r="E42" s="23"/>
      <c r="F42" s="23"/>
      <c r="G42" s="23">
        <v>109600000</v>
      </c>
      <c r="H42" s="23"/>
      <c r="I42" s="23"/>
      <c r="J42" s="23"/>
      <c r="K42" s="23"/>
    </row>
    <row r="43" spans="1:11" x14ac:dyDescent="0.25">
      <c r="A43" s="20"/>
      <c r="B43" s="12" t="s">
        <v>49</v>
      </c>
      <c r="C43" s="23">
        <f t="shared" si="2"/>
        <v>2000000</v>
      </c>
      <c r="D43" s="23"/>
      <c r="E43" s="23"/>
      <c r="F43" s="23"/>
      <c r="G43" s="23">
        <v>2000000</v>
      </c>
      <c r="H43" s="23"/>
      <c r="I43" s="23"/>
      <c r="J43" s="23"/>
      <c r="K43" s="23"/>
    </row>
    <row r="44" spans="1:11" x14ac:dyDescent="0.25">
      <c r="A44" s="20"/>
      <c r="B44" s="12" t="s">
        <v>50</v>
      </c>
      <c r="C44" s="23">
        <f t="shared" si="2"/>
        <v>0</v>
      </c>
      <c r="D44" s="23"/>
      <c r="E44" s="23"/>
      <c r="F44" s="23"/>
      <c r="G44" s="23"/>
      <c r="H44" s="23"/>
      <c r="I44" s="23"/>
      <c r="J44" s="23"/>
      <c r="K44" s="23"/>
    </row>
    <row r="45" spans="1:11" x14ac:dyDescent="0.25">
      <c r="A45" s="20"/>
      <c r="B45" s="12" t="s">
        <v>51</v>
      </c>
      <c r="C45" s="23">
        <f t="shared" si="2"/>
        <v>18000000</v>
      </c>
      <c r="D45" s="23"/>
      <c r="E45" s="23"/>
      <c r="F45" s="23"/>
      <c r="G45" s="23">
        <v>18000000</v>
      </c>
      <c r="H45" s="23"/>
      <c r="I45" s="23"/>
      <c r="J45" s="23"/>
      <c r="K45" s="23"/>
    </row>
    <row r="46" spans="1:11" ht="30" x14ac:dyDescent="0.25">
      <c r="A46" s="20"/>
      <c r="B46" s="13" t="s">
        <v>52</v>
      </c>
      <c r="C46" s="25">
        <f>C47</f>
        <v>22400000</v>
      </c>
      <c r="D46" s="23"/>
      <c r="E46" s="23"/>
      <c r="F46" s="23"/>
      <c r="G46" s="23"/>
      <c r="H46" s="23"/>
      <c r="I46" s="23"/>
      <c r="J46" s="23"/>
      <c r="K46" s="23"/>
    </row>
    <row r="47" spans="1:11" ht="45" x14ac:dyDescent="0.25">
      <c r="A47" s="20"/>
      <c r="B47" s="2" t="s">
        <v>53</v>
      </c>
      <c r="C47" s="23">
        <f t="shared" si="2"/>
        <v>22400000</v>
      </c>
      <c r="D47" s="23">
        <v>2000000</v>
      </c>
      <c r="E47" s="23"/>
      <c r="F47" s="23"/>
      <c r="G47" s="23">
        <v>20400000</v>
      </c>
      <c r="H47" s="23"/>
      <c r="I47" s="23"/>
      <c r="J47" s="23"/>
      <c r="K47" s="23"/>
    </row>
    <row r="48" spans="1:11" x14ac:dyDescent="0.25">
      <c r="A48" s="20"/>
      <c r="B48" s="14" t="s">
        <v>54</v>
      </c>
      <c r="C48" s="25">
        <f>C49+C51+C55+C57</f>
        <v>59500000</v>
      </c>
      <c r="D48" s="23"/>
      <c r="E48" s="23"/>
      <c r="F48" s="23"/>
      <c r="G48" s="23"/>
      <c r="H48" s="23"/>
      <c r="I48" s="23"/>
      <c r="J48" s="23"/>
      <c r="K48" s="23"/>
    </row>
    <row r="49" spans="1:11" ht="30" x14ac:dyDescent="0.25">
      <c r="A49" s="20"/>
      <c r="B49" s="15" t="s">
        <v>55</v>
      </c>
      <c r="C49" s="25">
        <f>C50</f>
        <v>12000000</v>
      </c>
      <c r="D49" s="23"/>
      <c r="E49" s="23"/>
      <c r="F49" s="23"/>
      <c r="G49" s="23"/>
      <c r="H49" s="23"/>
      <c r="I49" s="23"/>
      <c r="J49" s="23"/>
      <c r="K49" s="23"/>
    </row>
    <row r="50" spans="1:11" x14ac:dyDescent="0.25">
      <c r="A50" s="20"/>
      <c r="B50" s="12" t="s">
        <v>60</v>
      </c>
      <c r="C50" s="23">
        <f t="shared" si="2"/>
        <v>12000000</v>
      </c>
      <c r="D50" s="23"/>
      <c r="E50" s="23">
        <v>12000000</v>
      </c>
      <c r="F50" s="23"/>
      <c r="G50" s="23"/>
      <c r="H50" s="23"/>
      <c r="I50" s="23"/>
      <c r="J50" s="23"/>
      <c r="K50" s="23"/>
    </row>
    <row r="51" spans="1:11" x14ac:dyDescent="0.25">
      <c r="A51" s="20"/>
      <c r="B51" s="15" t="s">
        <v>56</v>
      </c>
      <c r="C51" s="25">
        <f>C52+C53+C54</f>
        <v>20500000</v>
      </c>
      <c r="D51" s="23"/>
      <c r="E51" s="23"/>
      <c r="F51" s="23"/>
      <c r="G51" s="23"/>
      <c r="H51" s="23"/>
      <c r="I51" s="23"/>
      <c r="J51" s="23"/>
      <c r="K51" s="23"/>
    </row>
    <row r="52" spans="1:11" ht="30" x14ac:dyDescent="0.25">
      <c r="A52" s="20"/>
      <c r="B52" s="2" t="s">
        <v>57</v>
      </c>
      <c r="C52" s="23">
        <f t="shared" si="2"/>
        <v>10000000</v>
      </c>
      <c r="D52" s="23"/>
      <c r="E52" s="23">
        <v>10000000</v>
      </c>
      <c r="F52" s="23"/>
      <c r="G52" s="23"/>
      <c r="H52" s="23"/>
      <c r="I52" s="23"/>
      <c r="J52" s="23"/>
      <c r="K52" s="23"/>
    </row>
    <row r="53" spans="1:11" ht="45" x14ac:dyDescent="0.25">
      <c r="A53" s="20"/>
      <c r="B53" s="2" t="s">
        <v>58</v>
      </c>
      <c r="C53" s="23">
        <f t="shared" si="2"/>
        <v>7000000</v>
      </c>
      <c r="D53" s="23"/>
      <c r="E53" s="23">
        <v>2000000</v>
      </c>
      <c r="F53" s="23">
        <v>5000000</v>
      </c>
      <c r="G53" s="23"/>
      <c r="H53" s="23"/>
      <c r="I53" s="23"/>
      <c r="J53" s="23"/>
      <c r="K53" s="23"/>
    </row>
    <row r="54" spans="1:11" ht="30" x14ac:dyDescent="0.25">
      <c r="A54" s="20"/>
      <c r="B54" s="2" t="s">
        <v>59</v>
      </c>
      <c r="C54" s="23">
        <f t="shared" si="2"/>
        <v>3500000</v>
      </c>
      <c r="D54" s="23"/>
      <c r="E54" s="23"/>
      <c r="F54" s="23">
        <v>3500000</v>
      </c>
      <c r="G54" s="23"/>
      <c r="H54" s="23"/>
      <c r="I54" s="23"/>
      <c r="J54" s="23"/>
      <c r="K54" s="23"/>
    </row>
    <row r="55" spans="1:11" x14ac:dyDescent="0.25">
      <c r="A55" s="20"/>
      <c r="B55" s="16" t="s">
        <v>61</v>
      </c>
      <c r="C55" s="25">
        <f>C56</f>
        <v>5000000</v>
      </c>
      <c r="D55" s="23"/>
      <c r="E55" s="23"/>
      <c r="F55" s="23"/>
      <c r="G55" s="23"/>
      <c r="H55" s="23"/>
      <c r="I55" s="23"/>
      <c r="J55" s="23"/>
      <c r="K55" s="23"/>
    </row>
    <row r="56" spans="1:11" ht="45" x14ac:dyDescent="0.25">
      <c r="A56" s="20"/>
      <c r="B56" s="2" t="s">
        <v>62</v>
      </c>
      <c r="C56" s="23">
        <f t="shared" si="2"/>
        <v>5000000</v>
      </c>
      <c r="D56" s="23"/>
      <c r="E56" s="23"/>
      <c r="F56" s="23">
        <v>5000000</v>
      </c>
      <c r="G56" s="23"/>
      <c r="H56" s="23"/>
      <c r="I56" s="23"/>
      <c r="J56" s="23"/>
      <c r="K56" s="23"/>
    </row>
    <row r="57" spans="1:11" x14ac:dyDescent="0.25">
      <c r="A57" s="20"/>
      <c r="B57" s="16" t="s">
        <v>63</v>
      </c>
      <c r="C57" s="25">
        <f>C58+C59</f>
        <v>22000000</v>
      </c>
      <c r="D57" s="23"/>
      <c r="E57" s="23"/>
      <c r="F57" s="23"/>
      <c r="G57" s="23"/>
      <c r="H57" s="23"/>
      <c r="I57" s="23"/>
      <c r="J57" s="23"/>
      <c r="K57" s="23"/>
    </row>
    <row r="58" spans="1:11" x14ac:dyDescent="0.25">
      <c r="A58" s="20"/>
      <c r="B58" s="12" t="s">
        <v>64</v>
      </c>
      <c r="C58" s="23">
        <f t="shared" si="2"/>
        <v>5000000</v>
      </c>
      <c r="D58" s="23"/>
      <c r="E58" s="23"/>
      <c r="F58" s="23">
        <v>5000000</v>
      </c>
      <c r="G58" s="23"/>
      <c r="H58" s="23"/>
      <c r="I58" s="23"/>
      <c r="J58" s="23"/>
      <c r="K58" s="23"/>
    </row>
    <row r="59" spans="1:11" x14ac:dyDescent="0.25">
      <c r="A59" s="20"/>
      <c r="B59" s="27" t="s">
        <v>65</v>
      </c>
      <c r="C59" s="23">
        <f t="shared" si="2"/>
        <v>17000000</v>
      </c>
      <c r="D59" s="23"/>
      <c r="E59" s="23">
        <v>17000000</v>
      </c>
      <c r="F59" s="23"/>
      <c r="G59" s="23"/>
      <c r="H59" s="23"/>
      <c r="I59" s="23"/>
      <c r="J59" s="23"/>
      <c r="K59" s="23"/>
    </row>
    <row r="60" spans="1:11" x14ac:dyDescent="0.25">
      <c r="A60" s="20"/>
      <c r="B60" s="14" t="s">
        <v>66</v>
      </c>
      <c r="C60" s="25">
        <f>C61+C63+C67</f>
        <v>210000000</v>
      </c>
      <c r="D60" s="23"/>
      <c r="E60" s="23"/>
      <c r="F60" s="23"/>
      <c r="G60" s="23"/>
      <c r="H60" s="23"/>
      <c r="I60" s="23"/>
      <c r="J60" s="23"/>
      <c r="K60" s="23"/>
    </row>
    <row r="61" spans="1:11" x14ac:dyDescent="0.25">
      <c r="A61" s="20"/>
      <c r="B61" s="16" t="s">
        <v>67</v>
      </c>
      <c r="C61" s="25">
        <f>C62</f>
        <v>200000000</v>
      </c>
      <c r="D61" s="23"/>
      <c r="E61" s="23"/>
      <c r="F61" s="23"/>
      <c r="G61" s="23"/>
      <c r="H61" s="23"/>
      <c r="I61" s="23"/>
      <c r="J61" s="23"/>
      <c r="K61" s="23"/>
    </row>
    <row r="62" spans="1:11" ht="30" x14ac:dyDescent="0.25">
      <c r="A62" s="20"/>
      <c r="B62" s="2" t="s">
        <v>68</v>
      </c>
      <c r="C62" s="23">
        <f t="shared" si="2"/>
        <v>200000000</v>
      </c>
      <c r="D62" s="23"/>
      <c r="E62" s="23"/>
      <c r="F62" s="23"/>
      <c r="G62" s="23">
        <v>200000000</v>
      </c>
      <c r="H62" s="23"/>
      <c r="I62" s="23"/>
      <c r="J62" s="23"/>
      <c r="K62" s="23"/>
    </row>
    <row r="63" spans="1:11" x14ac:dyDescent="0.25">
      <c r="A63" s="20"/>
      <c r="B63" s="16" t="s">
        <v>69</v>
      </c>
      <c r="C63" s="25">
        <f>C64+C65+C66</f>
        <v>5000000</v>
      </c>
      <c r="D63" s="23"/>
      <c r="E63" s="23"/>
      <c r="F63" s="23"/>
      <c r="G63" s="23"/>
      <c r="H63" s="23"/>
      <c r="I63" s="23"/>
      <c r="J63" s="23"/>
      <c r="K63" s="23"/>
    </row>
    <row r="64" spans="1:11" x14ac:dyDescent="0.25">
      <c r="A64" s="20"/>
      <c r="B64" s="17" t="s">
        <v>70</v>
      </c>
      <c r="C64" s="23">
        <f>SUM(D64:K64)</f>
        <v>2000000</v>
      </c>
      <c r="D64" s="23">
        <v>2000000</v>
      </c>
      <c r="E64" s="23"/>
      <c r="F64" s="23"/>
      <c r="G64" s="23"/>
      <c r="H64" s="23"/>
      <c r="I64" s="23"/>
      <c r="J64" s="23"/>
      <c r="K64" s="23"/>
    </row>
    <row r="65" spans="1:11" x14ac:dyDescent="0.25">
      <c r="A65" s="20"/>
      <c r="B65" s="17" t="s">
        <v>71</v>
      </c>
      <c r="C65" s="23">
        <f t="shared" si="2"/>
        <v>2000000</v>
      </c>
      <c r="D65" s="23">
        <v>1000000</v>
      </c>
      <c r="E65" s="23">
        <v>1000000</v>
      </c>
      <c r="F65" s="23"/>
      <c r="G65" s="23"/>
      <c r="H65" s="23"/>
      <c r="I65" s="23"/>
      <c r="J65" s="23"/>
      <c r="K65" s="23"/>
    </row>
    <row r="66" spans="1:11" x14ac:dyDescent="0.25">
      <c r="A66" s="20"/>
      <c r="B66" s="17" t="s">
        <v>72</v>
      </c>
      <c r="C66" s="23">
        <f t="shared" si="2"/>
        <v>1000000</v>
      </c>
      <c r="D66" s="23"/>
      <c r="E66" s="23">
        <v>1000000</v>
      </c>
      <c r="F66" s="23"/>
      <c r="G66" s="23"/>
      <c r="H66" s="23"/>
      <c r="I66" s="23"/>
      <c r="J66" s="23"/>
      <c r="K66" s="23"/>
    </row>
    <row r="67" spans="1:11" ht="30" x14ac:dyDescent="0.25">
      <c r="A67" s="20"/>
      <c r="B67" s="15" t="s">
        <v>73</v>
      </c>
      <c r="C67" s="25">
        <f>C68</f>
        <v>5000000</v>
      </c>
      <c r="D67" s="23"/>
      <c r="E67" s="23"/>
      <c r="F67" s="23"/>
      <c r="G67" s="23"/>
      <c r="H67" s="23"/>
      <c r="I67" s="23"/>
      <c r="J67" s="23"/>
      <c r="K67" s="23"/>
    </row>
    <row r="68" spans="1:11" x14ac:dyDescent="0.25">
      <c r="A68" s="20"/>
      <c r="B68" s="12" t="s">
        <v>74</v>
      </c>
      <c r="C68" s="23">
        <f>SUM(D68:K68)</f>
        <v>5000000</v>
      </c>
      <c r="D68" s="23"/>
      <c r="E68" s="23"/>
      <c r="F68" s="23"/>
      <c r="G68" s="23">
        <v>5000000</v>
      </c>
      <c r="H68" s="23"/>
      <c r="I68" s="23"/>
      <c r="J68" s="23"/>
      <c r="K68" s="23"/>
    </row>
    <row r="69" spans="1:11" ht="27" x14ac:dyDescent="0.25">
      <c r="A69" s="20"/>
      <c r="B69" s="18" t="s">
        <v>75</v>
      </c>
      <c r="C69" s="25">
        <f>C70+C71+C72</f>
        <v>57600000</v>
      </c>
      <c r="D69" s="23"/>
      <c r="E69" s="23"/>
      <c r="F69" s="23"/>
      <c r="G69" s="23"/>
      <c r="H69" s="23"/>
      <c r="I69" s="23"/>
      <c r="J69" s="23"/>
      <c r="K69" s="23"/>
    </row>
    <row r="70" spans="1:11" x14ac:dyDescent="0.25">
      <c r="A70" s="20"/>
      <c r="B70" s="19" t="s">
        <v>76</v>
      </c>
      <c r="C70" s="23">
        <f t="shared" ref="C70:C72" si="3">SUM(D70:K70)</f>
        <v>0</v>
      </c>
      <c r="D70" s="23"/>
      <c r="E70" s="23"/>
      <c r="F70" s="23"/>
      <c r="G70" s="23"/>
      <c r="H70" s="23"/>
      <c r="I70" s="23"/>
      <c r="J70" s="23"/>
      <c r="K70" s="23"/>
    </row>
    <row r="71" spans="1:11" x14ac:dyDescent="0.25">
      <c r="A71" s="20"/>
      <c r="B71" s="19" t="s">
        <v>77</v>
      </c>
      <c r="C71" s="23">
        <f t="shared" si="3"/>
        <v>0</v>
      </c>
      <c r="D71" s="23"/>
      <c r="E71" s="23"/>
      <c r="F71" s="23"/>
      <c r="G71" s="23"/>
      <c r="H71" s="23"/>
      <c r="I71" s="23"/>
      <c r="J71" s="23"/>
      <c r="K71" s="23"/>
    </row>
    <row r="72" spans="1:11" x14ac:dyDescent="0.25">
      <c r="A72" s="20"/>
      <c r="B72" s="19" t="s">
        <v>78</v>
      </c>
      <c r="C72" s="23">
        <f t="shared" si="3"/>
        <v>57600000</v>
      </c>
      <c r="D72" s="23"/>
      <c r="E72" s="23"/>
      <c r="F72" s="23"/>
      <c r="G72" s="23">
        <f>'UNTUK RKP'!E460</f>
        <v>57600000</v>
      </c>
      <c r="H72" s="23"/>
      <c r="I72" s="23"/>
      <c r="J72" s="23"/>
      <c r="K72" s="23"/>
    </row>
  </sheetData>
  <mergeCells count="5">
    <mergeCell ref="A1:K1"/>
    <mergeCell ref="B3:C3"/>
    <mergeCell ref="B4:C4"/>
    <mergeCell ref="B5:C5"/>
    <mergeCell ref="B2:C2"/>
  </mergeCells>
  <pageMargins left="0.7" right="0.7" top="0.75" bottom="0.75" header="0.3" footer="0.3"/>
  <pageSetup paperSize="5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76"/>
  <sheetViews>
    <sheetView tabSelected="1" view="pageBreakPreview" zoomScaleNormal="100" zoomScaleSheetLayoutView="100" workbookViewId="0">
      <selection activeCell="J278" sqref="J278"/>
    </sheetView>
  </sheetViews>
  <sheetFormatPr defaultRowHeight="15" x14ac:dyDescent="0.25"/>
  <cols>
    <col min="1" max="1" width="3.5703125" customWidth="1"/>
    <col min="2" max="3" width="4.5703125" customWidth="1"/>
    <col min="4" max="4" width="58.7109375" customWidth="1"/>
    <col min="5" max="5" width="16.5703125" customWidth="1"/>
    <col min="6" max="6" width="14.85546875" customWidth="1"/>
    <col min="7" max="7" width="14.28515625" bestFit="1" customWidth="1"/>
    <col min="8" max="8" width="16.28515625" style="164" bestFit="1" customWidth="1"/>
    <col min="9" max="9" width="17.140625" style="164" customWidth="1"/>
    <col min="10" max="10" width="14.140625" customWidth="1"/>
    <col min="11" max="11" width="16.140625" customWidth="1"/>
    <col min="12" max="12" width="15.85546875" customWidth="1"/>
    <col min="13" max="13" width="15.140625" customWidth="1"/>
    <col min="14" max="14" width="13.140625" customWidth="1"/>
    <col min="15" max="15" width="14" customWidth="1"/>
    <col min="16" max="16" width="12.42578125" customWidth="1"/>
    <col min="17" max="17" width="15.42578125" bestFit="1" customWidth="1"/>
  </cols>
  <sheetData>
    <row r="1" spans="1:19" x14ac:dyDescent="0.25">
      <c r="A1" s="377" t="s">
        <v>668</v>
      </c>
      <c r="B1" s="377"/>
      <c r="C1" s="377"/>
      <c r="D1" s="377"/>
      <c r="E1" s="377"/>
      <c r="F1" s="377"/>
    </row>
    <row r="2" spans="1:19" x14ac:dyDescent="0.25">
      <c r="A2" s="378"/>
      <c r="B2" s="378"/>
      <c r="C2" s="378"/>
      <c r="D2" s="378"/>
      <c r="E2" s="378"/>
      <c r="F2" s="378"/>
      <c r="H2" s="164">
        <f>E11-E14-E18</f>
        <v>414634572</v>
      </c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314" t="s">
        <v>80</v>
      </c>
    </row>
    <row r="4" spans="1:19" x14ac:dyDescent="0.25">
      <c r="A4" s="7">
        <v>1</v>
      </c>
      <c r="B4" s="7"/>
      <c r="C4" s="7"/>
      <c r="D4" s="7" t="s">
        <v>21</v>
      </c>
      <c r="E4" s="31">
        <f>E5+E80+E98+E118+E148</f>
        <v>1121063134.1300001</v>
      </c>
      <c r="F4" s="32"/>
      <c r="H4" s="333" t="s">
        <v>387</v>
      </c>
      <c r="I4" s="151" t="s">
        <v>0</v>
      </c>
      <c r="J4" s="148" t="s">
        <v>1</v>
      </c>
      <c r="K4" s="148" t="s">
        <v>2</v>
      </c>
      <c r="L4" s="315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1987556815.6199999</v>
      </c>
      <c r="S4" s="150"/>
    </row>
    <row r="5" spans="1:19" ht="32.25" customHeight="1" x14ac:dyDescent="0.25">
      <c r="A5" s="8">
        <v>1</v>
      </c>
      <c r="B5" s="8">
        <v>1</v>
      </c>
      <c r="C5" s="8"/>
      <c r="D5" s="6" t="s">
        <v>20</v>
      </c>
      <c r="E5" s="33">
        <f>E6+E11+E19+E33+E53+E56+E61+E72+E75</f>
        <v>807834868</v>
      </c>
      <c r="F5" s="8"/>
      <c r="H5" s="333" t="s">
        <v>391</v>
      </c>
      <c r="I5" s="151">
        <v>646789600</v>
      </c>
      <c r="J5" s="151">
        <v>158141454.34</v>
      </c>
      <c r="K5" s="151">
        <v>28771761.280000001</v>
      </c>
      <c r="L5" s="151">
        <v>41000000</v>
      </c>
      <c r="M5" s="151">
        <v>863354000</v>
      </c>
      <c r="N5" s="152">
        <v>5000000</v>
      </c>
      <c r="O5" s="152">
        <v>70500000</v>
      </c>
      <c r="P5" s="153">
        <v>220000000</v>
      </c>
      <c r="Q5" s="154">
        <f>SUM(I5:P5)</f>
        <v>2033556815.6199999</v>
      </c>
    </row>
    <row r="6" spans="1:19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79360496</v>
      </c>
      <c r="F6" s="3" t="s">
        <v>0</v>
      </c>
      <c r="H6" s="333" t="s">
        <v>392</v>
      </c>
      <c r="I6" s="151">
        <f>E7+E8+E12+E13+E15+E16+E17+E19+E36+E38+E40+E41+E48+E49+E54+E83+E90+E119+E133+E141+E204+E433+E434</f>
        <v>660863134.13</v>
      </c>
      <c r="J6" s="151">
        <f>E43+E45+E47+E50+E57+E60+E82+E86+E88+E89+E91+E99+E111+E123+E127+E128+E129+E138+E149+E152+E172+E362-E366+E377+E380+E401+E403+E107+E410+E435+E436+E439</f>
        <v>183612754.34</v>
      </c>
      <c r="K6" s="151">
        <f>E108+E136+E217+E319+E366+E381+E382++E394+E409+E465+E467</f>
        <v>48172861.280000001</v>
      </c>
      <c r="L6" s="151">
        <f>E9+E14+E18+E34+E37+E42+E44+E46+E55+E58+E59+E176+E180+E207+E338+E346+E347</f>
        <v>54251738.82</v>
      </c>
      <c r="M6" s="151">
        <f>E61+E162-E164+E189+E196+E209+E210+E220+E252+E269+E276+E280+E284+E296+E292+E304+E306+E308+E310+E312+E313+E326+E336+E337+E353+E420+E422+E469</f>
        <v>958677619.25</v>
      </c>
      <c r="N6" s="151">
        <f>E52+E164+E51+E255+E257+E323</f>
        <v>21410534.98</v>
      </c>
      <c r="O6" s="151">
        <f>E72+E75</f>
        <v>70500000</v>
      </c>
      <c r="P6" s="155">
        <f>E94</f>
        <v>220000000</v>
      </c>
      <c r="Q6" s="156">
        <f>SUM(I6:P6)</f>
        <v>2217488642.8000002</v>
      </c>
      <c r="R6" s="79"/>
      <c r="S6" s="157"/>
    </row>
    <row r="7" spans="1:19" x14ac:dyDescent="0.25">
      <c r="A7" s="3"/>
      <c r="B7" s="3"/>
      <c r="C7" s="34"/>
      <c r="D7" s="36" t="s">
        <v>595</v>
      </c>
      <c r="E7" s="37">
        <f>F7*12</f>
        <v>52160496</v>
      </c>
      <c r="F7" s="37">
        <v>4346708</v>
      </c>
      <c r="H7" s="333"/>
      <c r="I7" s="151"/>
      <c r="J7" s="155"/>
      <c r="K7" s="155"/>
      <c r="L7" s="151"/>
      <c r="M7" s="155"/>
      <c r="N7" s="155"/>
      <c r="O7" s="155"/>
      <c r="P7" s="155"/>
      <c r="Q7" s="158">
        <f>Q5-Q6</f>
        <v>-183931827.18000031</v>
      </c>
      <c r="R7" s="79"/>
      <c r="S7" s="79"/>
    </row>
    <row r="8" spans="1:19" x14ac:dyDescent="0.25">
      <c r="A8" s="3"/>
      <c r="B8" s="3"/>
      <c r="C8" s="34"/>
      <c r="D8" s="36" t="s">
        <v>505</v>
      </c>
      <c r="E8" s="37">
        <f>2150000*12</f>
        <v>25800000</v>
      </c>
      <c r="F8" s="37">
        <f>E8/12</f>
        <v>2150000</v>
      </c>
      <c r="H8" s="333" t="s">
        <v>393</v>
      </c>
      <c r="I8" s="152">
        <f>I5-I6</f>
        <v>-14073534.129999995</v>
      </c>
      <c r="J8" s="152">
        <f t="shared" ref="J8:P8" si="0">J5-J6</f>
        <v>-25471300</v>
      </c>
      <c r="K8" s="152">
        <f t="shared" si="0"/>
        <v>-19401100</v>
      </c>
      <c r="L8" s="152">
        <f t="shared" si="0"/>
        <v>-13251738.82</v>
      </c>
      <c r="M8" s="151">
        <f>M5-M6</f>
        <v>-95323619.25</v>
      </c>
      <c r="N8" s="151">
        <f t="shared" si="0"/>
        <v>-16410534.98</v>
      </c>
      <c r="O8" s="151">
        <f t="shared" si="0"/>
        <v>0</v>
      </c>
      <c r="P8" s="155">
        <f t="shared" si="0"/>
        <v>0</v>
      </c>
      <c r="Q8" s="156"/>
      <c r="R8" s="79"/>
      <c r="S8" s="79"/>
    </row>
    <row r="9" spans="1:19" x14ac:dyDescent="0.25">
      <c r="A9" s="3"/>
      <c r="B9" s="3"/>
      <c r="C9" s="34"/>
      <c r="D9" s="36" t="s">
        <v>88</v>
      </c>
      <c r="E9" s="40">
        <v>1400000</v>
      </c>
      <c r="F9" s="36" t="s">
        <v>6</v>
      </c>
      <c r="H9" s="156"/>
      <c r="I9" s="156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x14ac:dyDescent="0.25">
      <c r="A10" s="3"/>
      <c r="B10" s="3"/>
      <c r="C10" s="34"/>
      <c r="D10" s="38"/>
      <c r="E10" s="37"/>
      <c r="F10" s="3"/>
      <c r="H10" s="265" t="s">
        <v>395</v>
      </c>
      <c r="I10" s="265">
        <f>Q6-P6-O6</f>
        <v>1926988642.8000002</v>
      </c>
      <c r="J10" s="79"/>
      <c r="K10" s="316">
        <f>J5+K5</f>
        <v>186913215.62</v>
      </c>
      <c r="L10" s="159">
        <f>L5*20%</f>
        <v>8200000</v>
      </c>
      <c r="M10" s="79"/>
      <c r="N10" s="157"/>
      <c r="O10" s="157"/>
      <c r="P10" s="79"/>
      <c r="Q10" s="157"/>
      <c r="R10" s="79"/>
      <c r="S10" s="79"/>
    </row>
    <row r="11" spans="1:19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421234572</v>
      </c>
      <c r="F11" s="2" t="s">
        <v>90</v>
      </c>
      <c r="H11" s="181">
        <v>0.3</v>
      </c>
      <c r="I11" s="344">
        <f>I10*30%</f>
        <v>578096592.84000003</v>
      </c>
      <c r="K11" s="162">
        <f>J6+K6</f>
        <v>231785615.62</v>
      </c>
      <c r="L11" s="163">
        <f>L5*10%</f>
        <v>4100000</v>
      </c>
      <c r="M11" s="164"/>
      <c r="Q11" s="165"/>
      <c r="R11" s="79"/>
      <c r="S11" s="79"/>
    </row>
    <row r="12" spans="1:19" x14ac:dyDescent="0.25">
      <c r="A12" s="3"/>
      <c r="B12" s="3"/>
      <c r="C12" s="34"/>
      <c r="D12" s="36" t="s">
        <v>596</v>
      </c>
      <c r="E12" s="37">
        <f>3042695*12</f>
        <v>36512340</v>
      </c>
      <c r="F12" s="39" t="s">
        <v>0</v>
      </c>
      <c r="H12" s="181" t="s">
        <v>396</v>
      </c>
      <c r="I12" s="181">
        <f>E5-E19-E33-E61-E72-E75</f>
        <v>565095068</v>
      </c>
      <c r="J12" s="167">
        <f>I12/I10*100</f>
        <v>29.325293125697499</v>
      </c>
      <c r="K12" s="168" t="s">
        <v>397</v>
      </c>
      <c r="L12" s="169"/>
      <c r="M12" s="164"/>
      <c r="O12" s="164"/>
      <c r="P12" s="1"/>
      <c r="Q12" s="1"/>
      <c r="R12" s="79"/>
      <c r="S12" s="79"/>
    </row>
    <row r="13" spans="1:19" x14ac:dyDescent="0.25">
      <c r="A13" s="3"/>
      <c r="B13" s="3"/>
      <c r="C13" s="34"/>
      <c r="D13" s="36" t="s">
        <v>506</v>
      </c>
      <c r="E13" s="37">
        <f>1600000*12</f>
        <v>19200000</v>
      </c>
      <c r="F13" s="39" t="s">
        <v>0</v>
      </c>
      <c r="H13" s="181" t="s">
        <v>398</v>
      </c>
      <c r="I13" s="345">
        <f>I11-I12</f>
        <v>13001524.840000033</v>
      </c>
      <c r="K13" s="171"/>
      <c r="L13" s="169"/>
      <c r="M13" s="164"/>
      <c r="Q13" s="164"/>
      <c r="R13" s="79"/>
      <c r="S13" s="79"/>
    </row>
    <row r="14" spans="1:19" x14ac:dyDescent="0.25">
      <c r="A14" s="3"/>
      <c r="B14" s="3"/>
      <c r="C14" s="34"/>
      <c r="D14" s="36" t="s">
        <v>93</v>
      </c>
      <c r="E14" s="40">
        <v>1200000</v>
      </c>
      <c r="F14" s="39" t="s">
        <v>6</v>
      </c>
      <c r="H14" s="162"/>
      <c r="I14" s="346"/>
      <c r="J14" s="164"/>
      <c r="K14" s="171"/>
      <c r="L14" s="169"/>
      <c r="M14" s="164"/>
      <c r="Q14" s="164"/>
      <c r="R14" s="79"/>
      <c r="S14" s="79"/>
    </row>
    <row r="15" spans="1:19" x14ac:dyDescent="0.25">
      <c r="A15" s="3"/>
      <c r="B15" s="3"/>
      <c r="C15" s="34"/>
      <c r="D15" s="36" t="s">
        <v>597</v>
      </c>
      <c r="E15" s="37">
        <f>2173354*9*12</f>
        <v>234722232</v>
      </c>
      <c r="F15" s="36" t="s">
        <v>0</v>
      </c>
      <c r="M15" s="173"/>
      <c r="N15" s="164"/>
    </row>
    <row r="16" spans="1:19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M16" s="173"/>
      <c r="N16" s="164"/>
    </row>
    <row r="17" spans="1:17" x14ac:dyDescent="0.25">
      <c r="A17" s="3"/>
      <c r="B17" s="3"/>
      <c r="C17" s="34"/>
      <c r="D17" s="36" t="s">
        <v>507</v>
      </c>
      <c r="E17" s="37">
        <f>1150000*9*12</f>
        <v>124200000</v>
      </c>
      <c r="F17" s="36" t="s">
        <v>0</v>
      </c>
      <c r="I17" s="164">
        <f>H17/108</f>
        <v>0</v>
      </c>
      <c r="J17" s="384">
        <f>J19+K19</f>
        <v>44872400</v>
      </c>
      <c r="K17" s="384"/>
    </row>
    <row r="18" spans="1:17" x14ac:dyDescent="0.25">
      <c r="A18" s="3"/>
      <c r="B18" s="3"/>
      <c r="C18" s="34"/>
      <c r="D18" s="36" t="s">
        <v>97</v>
      </c>
      <c r="E18" s="254">
        <v>5400000</v>
      </c>
      <c r="F18" s="42" t="s">
        <v>6</v>
      </c>
      <c r="H18" s="265"/>
      <c r="I18" s="176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SUM(E20:E32)</f>
        <v>20179800</v>
      </c>
      <c r="F19" s="3" t="s">
        <v>0</v>
      </c>
      <c r="H19" s="334" t="s">
        <v>390</v>
      </c>
      <c r="I19" s="176">
        <v>14073534.130000001</v>
      </c>
      <c r="J19" s="177">
        <f>20433800+1909500+3128000</f>
        <v>25471300</v>
      </c>
      <c r="K19" s="177">
        <f>13809500+1847000+3744600</f>
        <v>19401100</v>
      </c>
      <c r="L19" s="177">
        <v>13251738.82</v>
      </c>
      <c r="M19" s="176">
        <v>95323619.25</v>
      </c>
      <c r="N19" s="176">
        <v>16410534.98</v>
      </c>
      <c r="O19" s="176">
        <v>0</v>
      </c>
      <c r="P19" s="178">
        <v>0</v>
      </c>
      <c r="Q19" s="175"/>
    </row>
    <row r="20" spans="1:17" x14ac:dyDescent="0.25">
      <c r="A20" s="3"/>
      <c r="B20" s="3"/>
      <c r="C20" s="34"/>
      <c r="D20" s="43" t="s">
        <v>99</v>
      </c>
      <c r="E20" s="37"/>
      <c r="F20" s="3"/>
      <c r="H20" s="265" t="s">
        <v>399</v>
      </c>
      <c r="I20" s="381">
        <f>SUM(I19:N19)</f>
        <v>183931827.17999998</v>
      </c>
      <c r="J20" s="382"/>
      <c r="K20" s="382"/>
      <c r="L20" s="382"/>
      <c r="M20" s="382"/>
      <c r="N20" s="382"/>
      <c r="O20" s="382"/>
      <c r="P20" s="383"/>
      <c r="Q20" s="179"/>
    </row>
    <row r="21" spans="1:17" x14ac:dyDescent="0.25">
      <c r="A21" s="3"/>
      <c r="B21" s="3"/>
      <c r="C21" s="34"/>
      <c r="D21" s="43" t="s">
        <v>100</v>
      </c>
      <c r="E21" s="37">
        <f>F21*12</f>
        <v>1929936</v>
      </c>
      <c r="F21" s="44">
        <v>160828</v>
      </c>
      <c r="H21" s="335" t="s">
        <v>400</v>
      </c>
      <c r="I21" s="181">
        <f>I8+I19</f>
        <v>0</v>
      </c>
      <c r="J21" s="181">
        <f>J8+J19</f>
        <v>0</v>
      </c>
      <c r="K21" s="181">
        <f>K8+K19</f>
        <v>0</v>
      </c>
      <c r="L21" s="181">
        <f t="shared" ref="L21:M21" si="1">L8+L19</f>
        <v>0</v>
      </c>
      <c r="M21" s="181">
        <f t="shared" si="1"/>
        <v>0</v>
      </c>
      <c r="N21" s="181">
        <f>N8+N19</f>
        <v>0</v>
      </c>
      <c r="O21" s="181"/>
      <c r="P21" s="20"/>
      <c r="Q21" s="171"/>
    </row>
    <row r="22" spans="1:17" x14ac:dyDescent="0.25">
      <c r="A22" s="3"/>
      <c r="B22" s="3"/>
      <c r="C22" s="34"/>
      <c r="D22" s="43" t="s">
        <v>101</v>
      </c>
      <c r="E22" s="37">
        <f t="shared" ref="E22:E28" si="2">F22*12</f>
        <v>1043208</v>
      </c>
      <c r="F22" s="44">
        <v>86934</v>
      </c>
      <c r="H22" s="265" t="s">
        <v>401</v>
      </c>
      <c r="I22" s="181">
        <f>I8+I19</f>
        <v>0</v>
      </c>
      <c r="J22" s="181">
        <f>J8+J19</f>
        <v>0</v>
      </c>
      <c r="K22" s="181">
        <f>K8+K19</f>
        <v>0</v>
      </c>
      <c r="L22" s="181">
        <f>L8+L19</f>
        <v>0</v>
      </c>
      <c r="M22" s="181">
        <f>M8+M19-E471</f>
        <v>0</v>
      </c>
      <c r="N22" s="181">
        <f>N8+N19</f>
        <v>0</v>
      </c>
      <c r="O22" s="181"/>
      <c r="P22" s="20"/>
    </row>
    <row r="23" spans="1:17" x14ac:dyDescent="0.25">
      <c r="A23" s="3"/>
      <c r="B23" s="3"/>
      <c r="C23" s="34"/>
      <c r="D23" s="43" t="s">
        <v>102</v>
      </c>
      <c r="E23" s="37">
        <f t="shared" si="2"/>
        <v>156480</v>
      </c>
      <c r="F23" s="44">
        <v>13040</v>
      </c>
    </row>
    <row r="24" spans="1:17" x14ac:dyDescent="0.25">
      <c r="A24" s="3"/>
      <c r="B24" s="3"/>
      <c r="C24" s="34"/>
      <c r="D24" s="43" t="s">
        <v>103</v>
      </c>
      <c r="E24" s="37">
        <f t="shared" si="2"/>
        <v>125184</v>
      </c>
      <c r="F24" s="44">
        <v>10432</v>
      </c>
      <c r="H24" s="164">
        <f>E21+E22+E23+E24</f>
        <v>3254808</v>
      </c>
    </row>
    <row r="25" spans="1:17" x14ac:dyDescent="0.25">
      <c r="A25" s="3"/>
      <c r="B25" s="3"/>
      <c r="C25" s="34"/>
      <c r="D25" s="43" t="s">
        <v>476</v>
      </c>
      <c r="E25" s="37">
        <f t="shared" si="2"/>
        <v>1350948</v>
      </c>
      <c r="F25" s="44">
        <v>112579</v>
      </c>
      <c r="H25" s="164">
        <f>E19-H24</f>
        <v>16924992</v>
      </c>
      <c r="J25" s="164"/>
    </row>
    <row r="26" spans="1:17" x14ac:dyDescent="0.25">
      <c r="A26" s="3"/>
      <c r="B26" s="3"/>
      <c r="C26" s="34"/>
      <c r="D26" s="43" t="s">
        <v>477</v>
      </c>
      <c r="E26" s="37">
        <f t="shared" si="2"/>
        <v>730248</v>
      </c>
      <c r="F26" s="44">
        <v>60854</v>
      </c>
    </row>
    <row r="27" spans="1:17" x14ac:dyDescent="0.25">
      <c r="A27" s="3"/>
      <c r="B27" s="3"/>
      <c r="C27" s="34"/>
      <c r="D27" s="43" t="s">
        <v>478</v>
      </c>
      <c r="E27" s="37">
        <f t="shared" si="2"/>
        <v>109536</v>
      </c>
      <c r="F27" s="44">
        <v>9128</v>
      </c>
    </row>
    <row r="28" spans="1:17" x14ac:dyDescent="0.25">
      <c r="A28" s="3"/>
      <c r="B28" s="3"/>
      <c r="C28" s="34"/>
      <c r="D28" s="43" t="s">
        <v>479</v>
      </c>
      <c r="E28" s="37">
        <f t="shared" si="2"/>
        <v>87624</v>
      </c>
      <c r="F28" s="44">
        <v>7302</v>
      </c>
    </row>
    <row r="29" spans="1:17" x14ac:dyDescent="0.25">
      <c r="A29" s="3"/>
      <c r="B29" s="3"/>
      <c r="C29" s="34"/>
      <c r="D29" s="43" t="s">
        <v>105</v>
      </c>
      <c r="E29" s="37">
        <f>F29*9*12</f>
        <v>8684712</v>
      </c>
      <c r="F29" s="44">
        <v>80414</v>
      </c>
      <c r="L29" s="164">
        <f>I22+J22+K22+L22+N22</f>
        <v>0</v>
      </c>
    </row>
    <row r="30" spans="1:17" x14ac:dyDescent="0.25">
      <c r="A30" s="3"/>
      <c r="B30" s="3"/>
      <c r="C30" s="34"/>
      <c r="D30" s="43" t="s">
        <v>106</v>
      </c>
      <c r="E30" s="37">
        <f t="shared" ref="E30:E31" si="3">F30*9*12</f>
        <v>4694436</v>
      </c>
      <c r="F30" s="44">
        <v>43467</v>
      </c>
      <c r="I30" s="194">
        <f>E9+E14+E18</f>
        <v>8000000</v>
      </c>
    </row>
    <row r="31" spans="1:17" x14ac:dyDescent="0.25">
      <c r="A31" s="3"/>
      <c r="B31" s="3"/>
      <c r="C31" s="34"/>
      <c r="D31" s="43" t="s">
        <v>107</v>
      </c>
      <c r="E31" s="37">
        <f t="shared" si="3"/>
        <v>704160</v>
      </c>
      <c r="F31" s="44">
        <v>6520</v>
      </c>
    </row>
    <row r="32" spans="1:17" x14ac:dyDescent="0.25">
      <c r="A32" s="3"/>
      <c r="B32" s="3"/>
      <c r="C32" s="34"/>
      <c r="D32" s="43" t="s">
        <v>108</v>
      </c>
      <c r="E32" s="37">
        <f>F32*9*12</f>
        <v>563328</v>
      </c>
      <c r="F32" s="44">
        <v>5216</v>
      </c>
      <c r="N32">
        <f>201-128</f>
        <v>73</v>
      </c>
    </row>
    <row r="33" spans="1:10" x14ac:dyDescent="0.25">
      <c r="A33" s="3">
        <v>1</v>
      </c>
      <c r="B33" s="3">
        <v>1</v>
      </c>
      <c r="C33" s="34" t="s">
        <v>109</v>
      </c>
      <c r="D33" s="4" t="s">
        <v>16</v>
      </c>
      <c r="E33" s="45">
        <f>SUM(E34:E52)</f>
        <v>122060000</v>
      </c>
      <c r="F33" s="2"/>
    </row>
    <row r="34" spans="1:10" x14ac:dyDescent="0.25">
      <c r="A34" s="46"/>
      <c r="B34" s="46"/>
      <c r="C34" s="47"/>
      <c r="D34" s="48" t="s">
        <v>110</v>
      </c>
      <c r="E34" s="49">
        <v>7200000</v>
      </c>
      <c r="F34" s="42" t="s">
        <v>6</v>
      </c>
      <c r="G34" s="173">
        <f>E34/12</f>
        <v>600000</v>
      </c>
      <c r="H34" s="164">
        <f>E34+E37+E42+E44+E46</f>
        <v>19500000</v>
      </c>
    </row>
    <row r="35" spans="1:10" hidden="1" x14ac:dyDescent="0.25">
      <c r="A35" s="46"/>
      <c r="B35" s="46"/>
      <c r="C35" s="47"/>
      <c r="D35" s="48" t="s">
        <v>110</v>
      </c>
      <c r="E35" s="49">
        <v>0</v>
      </c>
      <c r="F35" s="42" t="s">
        <v>111</v>
      </c>
    </row>
    <row r="36" spans="1:10" x14ac:dyDescent="0.25">
      <c r="A36" s="46"/>
      <c r="B36" s="46"/>
      <c r="C36" s="47"/>
      <c r="D36" s="48" t="s">
        <v>112</v>
      </c>
      <c r="E36" s="49">
        <v>10000000</v>
      </c>
      <c r="F36" s="48" t="s">
        <v>0</v>
      </c>
      <c r="H36" s="164">
        <f>E36+E38+E40+E41+E48+E49</f>
        <v>56060000</v>
      </c>
    </row>
    <row r="37" spans="1:10" x14ac:dyDescent="0.25">
      <c r="A37" s="46"/>
      <c r="B37" s="46"/>
      <c r="C37" s="47"/>
      <c r="D37" s="48" t="s">
        <v>113</v>
      </c>
      <c r="E37" s="49">
        <v>1200000</v>
      </c>
      <c r="F37" s="48" t="s">
        <v>6</v>
      </c>
      <c r="G37" s="173">
        <f>E37/12</f>
        <v>100000</v>
      </c>
      <c r="H37" s="164">
        <f>E52</f>
        <v>0</v>
      </c>
    </row>
    <row r="38" spans="1:10" x14ac:dyDescent="0.25">
      <c r="A38" s="46"/>
      <c r="B38" s="46"/>
      <c r="C38" s="47"/>
      <c r="D38" s="42" t="s">
        <v>114</v>
      </c>
      <c r="E38" s="51">
        <v>360000</v>
      </c>
      <c r="F38" s="42" t="s">
        <v>0</v>
      </c>
      <c r="G38" s="173">
        <f>E38/120000</f>
        <v>3</v>
      </c>
      <c r="H38" s="164">
        <f>E43+E45+E47+E50</f>
        <v>46500000</v>
      </c>
    </row>
    <row r="39" spans="1:10" hidden="1" x14ac:dyDescent="0.25">
      <c r="A39" s="46"/>
      <c r="B39" s="46"/>
      <c r="C39" s="47"/>
      <c r="D39" s="42" t="s">
        <v>115</v>
      </c>
      <c r="E39" s="50">
        <v>0</v>
      </c>
      <c r="F39" s="42" t="s">
        <v>0</v>
      </c>
    </row>
    <row r="40" spans="1:10" x14ac:dyDescent="0.25">
      <c r="A40" s="46"/>
      <c r="B40" s="46"/>
      <c r="C40" s="47"/>
      <c r="D40" s="42" t="s">
        <v>116</v>
      </c>
      <c r="E40" s="50">
        <v>4000000</v>
      </c>
      <c r="F40" s="42" t="s">
        <v>0</v>
      </c>
    </row>
    <row r="41" spans="1:10" x14ac:dyDescent="0.25">
      <c r="A41" s="46"/>
      <c r="B41" s="46"/>
      <c r="C41" s="47"/>
      <c r="D41" s="48" t="s">
        <v>410</v>
      </c>
      <c r="E41" s="49">
        <v>6000000</v>
      </c>
      <c r="F41" s="52" t="s">
        <v>0</v>
      </c>
      <c r="G41" t="s">
        <v>9</v>
      </c>
    </row>
    <row r="42" spans="1:10" x14ac:dyDescent="0.25">
      <c r="A42" s="46"/>
      <c r="B42" s="46"/>
      <c r="C42" s="46"/>
      <c r="D42" s="42" t="s">
        <v>117</v>
      </c>
      <c r="E42" s="50">
        <v>1100000</v>
      </c>
      <c r="F42" s="42" t="s">
        <v>6</v>
      </c>
    </row>
    <row r="43" spans="1:10" x14ac:dyDescent="0.25">
      <c r="A43" s="46"/>
      <c r="B43" s="46"/>
      <c r="C43" s="46"/>
      <c r="D43" s="42" t="s">
        <v>602</v>
      </c>
      <c r="E43" s="51">
        <v>10000000</v>
      </c>
      <c r="F43" s="42" t="s">
        <v>1</v>
      </c>
    </row>
    <row r="44" spans="1:10" x14ac:dyDescent="0.25">
      <c r="A44" s="46"/>
      <c r="B44" s="46"/>
      <c r="C44" s="46"/>
      <c r="D44" s="42" t="s">
        <v>540</v>
      </c>
      <c r="E44" s="51">
        <v>0</v>
      </c>
      <c r="F44" s="42" t="s">
        <v>6</v>
      </c>
      <c r="H44" s="164">
        <f>SUM(E43:E45)</f>
        <v>20000000</v>
      </c>
    </row>
    <row r="45" spans="1:10" x14ac:dyDescent="0.25">
      <c r="A45" s="46"/>
      <c r="B45" s="46"/>
      <c r="C45" s="46"/>
      <c r="D45" s="42" t="s">
        <v>540</v>
      </c>
      <c r="E45" s="51">
        <v>10000000</v>
      </c>
      <c r="F45" s="52" t="s">
        <v>1</v>
      </c>
      <c r="G45" t="s">
        <v>2</v>
      </c>
    </row>
    <row r="46" spans="1:10" x14ac:dyDescent="0.25">
      <c r="A46" s="46"/>
      <c r="B46" s="46"/>
      <c r="C46" s="46"/>
      <c r="D46" s="42" t="s">
        <v>119</v>
      </c>
      <c r="E46" s="50">
        <v>10000000</v>
      </c>
      <c r="F46" s="42" t="s">
        <v>6</v>
      </c>
      <c r="J46">
        <f>25*10000</f>
        <v>250000</v>
      </c>
    </row>
    <row r="47" spans="1:10" x14ac:dyDescent="0.25">
      <c r="A47" s="46"/>
      <c r="B47" s="46"/>
      <c r="C47" s="46"/>
      <c r="D47" s="42" t="s">
        <v>610</v>
      </c>
      <c r="E47" s="51">
        <v>25500000</v>
      </c>
      <c r="F47" s="42" t="s">
        <v>1</v>
      </c>
      <c r="H47" s="164">
        <f>SUM(E47:E48)</f>
        <v>61200000</v>
      </c>
      <c r="J47">
        <f>25*5000</f>
        <v>125000</v>
      </c>
    </row>
    <row r="48" spans="1:10" x14ac:dyDescent="0.25">
      <c r="A48" s="46"/>
      <c r="B48" s="46"/>
      <c r="C48" s="46"/>
      <c r="D48" s="42" t="s">
        <v>611</v>
      </c>
      <c r="E48" s="51">
        <v>35700000</v>
      </c>
      <c r="F48" s="42" t="s">
        <v>0</v>
      </c>
      <c r="H48" s="164">
        <f>H47/12</f>
        <v>5100000</v>
      </c>
      <c r="J48">
        <f>SUM(J46:J47)</f>
        <v>375000</v>
      </c>
    </row>
    <row r="49" spans="1:10" x14ac:dyDescent="0.25">
      <c r="A49" s="46"/>
      <c r="B49" s="46"/>
      <c r="C49" s="46"/>
      <c r="D49" s="42" t="s">
        <v>537</v>
      </c>
      <c r="E49" s="51">
        <v>0</v>
      </c>
      <c r="F49" s="42" t="s">
        <v>0</v>
      </c>
      <c r="G49" s="173">
        <f>E49/700000</f>
        <v>0</v>
      </c>
      <c r="H49" s="164">
        <f>H48*3</f>
        <v>15300000</v>
      </c>
    </row>
    <row r="50" spans="1:10" x14ac:dyDescent="0.25">
      <c r="A50" s="46"/>
      <c r="B50" s="46"/>
      <c r="C50" s="46"/>
      <c r="D50" s="73" t="s">
        <v>652</v>
      </c>
      <c r="E50" s="321">
        <v>1000000</v>
      </c>
      <c r="F50" s="73" t="s">
        <v>1</v>
      </c>
      <c r="G50" s="173"/>
    </row>
    <row r="51" spans="1:10" x14ac:dyDescent="0.25">
      <c r="A51" s="46"/>
      <c r="B51" s="46"/>
      <c r="C51" s="46"/>
      <c r="D51" s="73" t="s">
        <v>653</v>
      </c>
      <c r="E51" s="321">
        <v>0</v>
      </c>
      <c r="F51" s="73" t="s">
        <v>9</v>
      </c>
      <c r="G51" s="173"/>
    </row>
    <row r="52" spans="1:10" x14ac:dyDescent="0.25">
      <c r="A52" s="46"/>
      <c r="B52" s="46"/>
      <c r="C52" s="46"/>
      <c r="D52" s="52" t="s">
        <v>612</v>
      </c>
      <c r="E52" s="51">
        <v>0</v>
      </c>
      <c r="F52" s="52" t="s">
        <v>9</v>
      </c>
      <c r="G52" s="173"/>
    </row>
    <row r="53" spans="1:10" x14ac:dyDescent="0.25">
      <c r="A53" s="5">
        <v>1</v>
      </c>
      <c r="B53" s="5">
        <v>1</v>
      </c>
      <c r="C53" s="53" t="s">
        <v>122</v>
      </c>
      <c r="D53" s="5" t="s">
        <v>17</v>
      </c>
      <c r="E53" s="54">
        <f>SUM(E54:E55)</f>
        <v>56500000</v>
      </c>
      <c r="F53" s="5" t="s">
        <v>0</v>
      </c>
      <c r="H53" s="164">
        <f>5*12</f>
        <v>60</v>
      </c>
    </row>
    <row r="54" spans="1:10" x14ac:dyDescent="0.25">
      <c r="A54" s="5"/>
      <c r="B54" s="5"/>
      <c r="C54" s="53"/>
      <c r="D54" s="55" t="s">
        <v>123</v>
      </c>
      <c r="E54" s="50">
        <v>52500000</v>
      </c>
      <c r="F54" s="42" t="s">
        <v>0</v>
      </c>
      <c r="H54" s="164" t="s">
        <v>541</v>
      </c>
      <c r="I54" s="164">
        <f>950000*12</f>
        <v>11400000</v>
      </c>
      <c r="J54">
        <v>850000</v>
      </c>
    </row>
    <row r="55" spans="1:10" x14ac:dyDescent="0.25">
      <c r="A55" s="5"/>
      <c r="B55" s="5"/>
      <c r="C55" s="53"/>
      <c r="D55" s="55" t="s">
        <v>124</v>
      </c>
      <c r="E55" s="50">
        <v>4000000</v>
      </c>
      <c r="F55" s="42" t="s">
        <v>6</v>
      </c>
      <c r="H55" s="164" t="s">
        <v>525</v>
      </c>
      <c r="I55" s="164">
        <f>875000*12</f>
        <v>10500000</v>
      </c>
      <c r="J55">
        <v>800000</v>
      </c>
    </row>
    <row r="56" spans="1:10" x14ac:dyDescent="0.25">
      <c r="A56" s="5">
        <v>1</v>
      </c>
      <c r="B56" s="5">
        <v>1</v>
      </c>
      <c r="C56" s="53" t="s">
        <v>125</v>
      </c>
      <c r="D56" s="5" t="s">
        <v>18</v>
      </c>
      <c r="E56" s="54">
        <f>SUM(E57:E60)</f>
        <v>8000000</v>
      </c>
      <c r="F56" s="5" t="s">
        <v>135</v>
      </c>
      <c r="G56" s="173">
        <f>E57+E60</f>
        <v>4500000</v>
      </c>
      <c r="H56" s="164" t="s">
        <v>526</v>
      </c>
      <c r="I56" s="164">
        <f>I55</f>
        <v>10500000</v>
      </c>
      <c r="J56">
        <v>800000</v>
      </c>
    </row>
    <row r="57" spans="1:10" x14ac:dyDescent="0.25">
      <c r="A57" s="46"/>
      <c r="B57" s="46"/>
      <c r="C57" s="46"/>
      <c r="D57" s="42" t="s">
        <v>126</v>
      </c>
      <c r="E57" s="50">
        <v>1500000</v>
      </c>
      <c r="F57" s="42" t="s">
        <v>1</v>
      </c>
      <c r="G57" t="s">
        <v>6</v>
      </c>
      <c r="H57" s="164" t="s">
        <v>542</v>
      </c>
      <c r="I57" s="164">
        <f>837500*12</f>
        <v>10050000</v>
      </c>
      <c r="J57">
        <v>775000</v>
      </c>
    </row>
    <row r="58" spans="1:10" x14ac:dyDescent="0.25">
      <c r="A58" s="46"/>
      <c r="B58" s="46"/>
      <c r="C58" s="46"/>
      <c r="D58" s="42" t="s">
        <v>127</v>
      </c>
      <c r="E58" s="50">
        <v>1000000</v>
      </c>
      <c r="F58" s="42" t="s">
        <v>6</v>
      </c>
      <c r="H58" s="164" t="s">
        <v>542</v>
      </c>
      <c r="I58" s="164">
        <f>I57</f>
        <v>10050000</v>
      </c>
      <c r="J58">
        <v>775000</v>
      </c>
    </row>
    <row r="59" spans="1:10" x14ac:dyDescent="0.25">
      <c r="A59" s="46"/>
      <c r="B59" s="46"/>
      <c r="C59" s="46"/>
      <c r="D59" s="42" t="s">
        <v>128</v>
      </c>
      <c r="E59" s="50">
        <v>2500000</v>
      </c>
      <c r="F59" s="42" t="s">
        <v>6</v>
      </c>
      <c r="I59" s="194">
        <f>SUM(I54:I58)</f>
        <v>52500000</v>
      </c>
      <c r="J59">
        <f>SUM(J54:J58)</f>
        <v>4000000</v>
      </c>
    </row>
    <row r="60" spans="1:10" x14ac:dyDescent="0.25">
      <c r="A60" s="46"/>
      <c r="B60" s="46"/>
      <c r="C60" s="46"/>
      <c r="D60" s="42" t="s">
        <v>129</v>
      </c>
      <c r="E60" s="50">
        <v>3000000</v>
      </c>
      <c r="F60" s="42" t="s">
        <v>1</v>
      </c>
      <c r="G60" t="s">
        <v>6</v>
      </c>
    </row>
    <row r="61" spans="1:10" x14ac:dyDescent="0.25">
      <c r="A61" s="5">
        <v>1</v>
      </c>
      <c r="B61" s="5">
        <v>1</v>
      </c>
      <c r="C61" s="53" t="s">
        <v>160</v>
      </c>
      <c r="D61" s="5" t="s">
        <v>438</v>
      </c>
      <c r="E61" s="54">
        <f>E62+E65+E68</f>
        <v>30000000</v>
      </c>
      <c r="F61" s="5" t="s">
        <v>3</v>
      </c>
      <c r="H61" s="164">
        <f>M5*3%</f>
        <v>25900620</v>
      </c>
    </row>
    <row r="62" spans="1:10" x14ac:dyDescent="0.25">
      <c r="A62" s="46"/>
      <c r="B62" s="46"/>
      <c r="C62" s="55" t="s">
        <v>85</v>
      </c>
      <c r="D62" s="63" t="s">
        <v>439</v>
      </c>
      <c r="E62" s="64">
        <f>E63+E64</f>
        <v>3000000</v>
      </c>
      <c r="F62" s="42"/>
      <c r="H62" s="164">
        <f>E61/M5*100</f>
        <v>3.4748202938771353</v>
      </c>
    </row>
    <row r="63" spans="1:10" x14ac:dyDescent="0.25">
      <c r="A63" s="46"/>
      <c r="B63" s="46"/>
      <c r="C63" s="55"/>
      <c r="D63" s="55" t="s">
        <v>468</v>
      </c>
      <c r="E63" s="50">
        <v>3000000</v>
      </c>
      <c r="F63" s="42"/>
    </row>
    <row r="64" spans="1:10" x14ac:dyDescent="0.25">
      <c r="A64" s="46"/>
      <c r="B64" s="46"/>
      <c r="C64" s="55"/>
      <c r="D64" s="55" t="s">
        <v>469</v>
      </c>
      <c r="E64" s="51">
        <v>0</v>
      </c>
      <c r="F64" s="42"/>
    </row>
    <row r="65" spans="1:8" ht="30" x14ac:dyDescent="0.25">
      <c r="A65" s="97"/>
      <c r="B65" s="97"/>
      <c r="C65" s="38" t="s">
        <v>89</v>
      </c>
      <c r="D65" s="99" t="s">
        <v>440</v>
      </c>
      <c r="E65" s="100">
        <f>E66+E67</f>
        <v>5000000</v>
      </c>
      <c r="F65" s="36"/>
    </row>
    <row r="66" spans="1:8" x14ac:dyDescent="0.25">
      <c r="A66" s="97"/>
      <c r="B66" s="97"/>
      <c r="C66" s="38"/>
      <c r="D66" s="101" t="s">
        <v>470</v>
      </c>
      <c r="E66" s="40">
        <v>0</v>
      </c>
      <c r="F66" s="36"/>
    </row>
    <row r="67" spans="1:8" x14ac:dyDescent="0.25">
      <c r="A67" s="97"/>
      <c r="B67" s="97"/>
      <c r="C67" s="38"/>
      <c r="D67" s="101" t="s">
        <v>471</v>
      </c>
      <c r="E67" s="37">
        <v>5000000</v>
      </c>
      <c r="F67" s="36"/>
    </row>
    <row r="68" spans="1:8" x14ac:dyDescent="0.25">
      <c r="A68" s="46"/>
      <c r="B68" s="46"/>
      <c r="C68" s="55" t="s">
        <v>98</v>
      </c>
      <c r="D68" s="63" t="s">
        <v>441</v>
      </c>
      <c r="E68" s="64">
        <f>E69+E70+E71</f>
        <v>22000000</v>
      </c>
      <c r="F68" s="42"/>
    </row>
    <row r="69" spans="1:8" x14ac:dyDescent="0.25">
      <c r="A69" s="46"/>
      <c r="B69" s="46"/>
      <c r="C69" s="55"/>
      <c r="D69" s="55" t="s">
        <v>472</v>
      </c>
      <c r="E69" s="50">
        <v>5000000</v>
      </c>
      <c r="F69" s="42"/>
    </row>
    <row r="70" spans="1:8" x14ac:dyDescent="0.25">
      <c r="A70" s="46"/>
      <c r="B70" s="46"/>
      <c r="C70" s="55"/>
      <c r="D70" s="55" t="s">
        <v>543</v>
      </c>
      <c r="E70" s="50">
        <v>15000000</v>
      </c>
      <c r="F70" s="42"/>
    </row>
    <row r="71" spans="1:8" x14ac:dyDescent="0.25">
      <c r="A71" s="46"/>
      <c r="B71" s="46"/>
      <c r="C71" s="55"/>
      <c r="D71" s="55" t="s">
        <v>474</v>
      </c>
      <c r="E71" s="50">
        <v>2000000</v>
      </c>
      <c r="F71" s="42"/>
    </row>
    <row r="72" spans="1:8" x14ac:dyDescent="0.25">
      <c r="A72" s="5">
        <v>1</v>
      </c>
      <c r="B72" s="5">
        <v>1</v>
      </c>
      <c r="C72" s="53" t="s">
        <v>130</v>
      </c>
      <c r="D72" s="5" t="s">
        <v>19</v>
      </c>
      <c r="E72" s="54">
        <f>E73+E74</f>
        <v>22500000</v>
      </c>
      <c r="F72" s="5" t="s">
        <v>131</v>
      </c>
    </row>
    <row r="73" spans="1:8" x14ac:dyDescent="0.25">
      <c r="A73" s="46"/>
      <c r="B73" s="46"/>
      <c r="C73" s="46"/>
      <c r="D73" s="42" t="s">
        <v>19</v>
      </c>
      <c r="E73" s="50">
        <v>18000000</v>
      </c>
      <c r="F73" s="42" t="s">
        <v>131</v>
      </c>
    </row>
    <row r="74" spans="1:8" x14ac:dyDescent="0.25">
      <c r="A74" s="46"/>
      <c r="B74" s="46"/>
      <c r="C74" s="46"/>
      <c r="D74" s="324" t="s">
        <v>663</v>
      </c>
      <c r="E74" s="323">
        <v>4500000</v>
      </c>
      <c r="F74" s="42"/>
    </row>
    <row r="75" spans="1:8" x14ac:dyDescent="0.25">
      <c r="A75" s="5">
        <v>1</v>
      </c>
      <c r="B75" s="5">
        <v>1</v>
      </c>
      <c r="C75" s="53" t="s">
        <v>444</v>
      </c>
      <c r="D75" s="5" t="s">
        <v>445</v>
      </c>
      <c r="E75" s="54">
        <f>SUM(E76:E79)</f>
        <v>48000000</v>
      </c>
      <c r="F75" s="5" t="s">
        <v>131</v>
      </c>
      <c r="G75">
        <f>12*10</f>
        <v>120</v>
      </c>
    </row>
    <row r="76" spans="1:8" x14ac:dyDescent="0.25">
      <c r="A76" s="5"/>
      <c r="B76" s="5"/>
      <c r="C76" s="53"/>
      <c r="D76" s="42" t="s">
        <v>446</v>
      </c>
      <c r="E76" s="50">
        <v>6000000</v>
      </c>
      <c r="F76" s="42"/>
      <c r="H76" s="164">
        <f>9*12</f>
        <v>108</v>
      </c>
    </row>
    <row r="77" spans="1:8" x14ac:dyDescent="0.25">
      <c r="A77" s="5"/>
      <c r="B77" s="5"/>
      <c r="C77" s="53"/>
      <c r="D77" s="324" t="s">
        <v>661</v>
      </c>
      <c r="E77" s="323">
        <v>1500000</v>
      </c>
      <c r="F77" s="42"/>
    </row>
    <row r="78" spans="1:8" x14ac:dyDescent="0.25">
      <c r="A78" s="5"/>
      <c r="B78" s="5"/>
      <c r="C78" s="53"/>
      <c r="D78" s="42" t="s">
        <v>447</v>
      </c>
      <c r="E78" s="50">
        <v>32400000</v>
      </c>
      <c r="F78" s="42"/>
    </row>
    <row r="79" spans="1:8" x14ac:dyDescent="0.25">
      <c r="A79" s="46"/>
      <c r="B79" s="46"/>
      <c r="C79" s="46"/>
      <c r="D79" s="324" t="s">
        <v>662</v>
      </c>
      <c r="E79" s="323">
        <f>900000*9</f>
        <v>8100000</v>
      </c>
      <c r="F79" s="42"/>
    </row>
    <row r="80" spans="1:8" x14ac:dyDescent="0.25">
      <c r="A80" s="8">
        <v>1</v>
      </c>
      <c r="B80" s="8">
        <v>2</v>
      </c>
      <c r="C80" s="56"/>
      <c r="D80" s="8" t="s">
        <v>25</v>
      </c>
      <c r="E80" s="57">
        <f>E81+E84+E94</f>
        <v>249628266.13</v>
      </c>
      <c r="F80" s="58"/>
    </row>
    <row r="81" spans="1:8" x14ac:dyDescent="0.25">
      <c r="A81" s="5">
        <v>1</v>
      </c>
      <c r="B81" s="5">
        <v>2</v>
      </c>
      <c r="C81" s="53" t="s">
        <v>85</v>
      </c>
      <c r="D81" s="5" t="s">
        <v>22</v>
      </c>
      <c r="E81" s="54">
        <f>SUM(E82:E83)</f>
        <v>10228266.130000001</v>
      </c>
      <c r="F81" s="5" t="s">
        <v>0</v>
      </c>
    </row>
    <row r="82" spans="1:8" hidden="1" x14ac:dyDescent="0.25">
      <c r="A82" s="46"/>
      <c r="B82" s="46"/>
      <c r="C82" s="47"/>
      <c r="D82" s="42" t="s">
        <v>409</v>
      </c>
      <c r="E82" s="51">
        <v>0</v>
      </c>
      <c r="F82" s="42" t="s">
        <v>1</v>
      </c>
    </row>
    <row r="83" spans="1:8" x14ac:dyDescent="0.25">
      <c r="A83" s="46"/>
      <c r="B83" s="46"/>
      <c r="C83" s="47"/>
      <c r="D83" s="324" t="s">
        <v>667</v>
      </c>
      <c r="E83" s="323">
        <v>10228266.130000001</v>
      </c>
      <c r="F83" s="42" t="s">
        <v>0</v>
      </c>
    </row>
    <row r="84" spans="1:8" x14ac:dyDescent="0.25">
      <c r="A84" s="3">
        <v>1</v>
      </c>
      <c r="B84" s="3">
        <v>2</v>
      </c>
      <c r="C84" s="34" t="s">
        <v>89</v>
      </c>
      <c r="D84" s="3" t="s">
        <v>23</v>
      </c>
      <c r="E84" s="35">
        <f>E85+E89+E90+E91</f>
        <v>19400000</v>
      </c>
      <c r="F84" s="2" t="s">
        <v>601</v>
      </c>
    </row>
    <row r="85" spans="1:8" x14ac:dyDescent="0.25">
      <c r="A85" s="5"/>
      <c r="B85" s="5"/>
      <c r="C85" s="53"/>
      <c r="D85" s="60" t="s">
        <v>134</v>
      </c>
      <c r="E85" s="61">
        <f>SUM(E86:E88)</f>
        <v>3000000</v>
      </c>
      <c r="F85" s="60" t="s">
        <v>1</v>
      </c>
      <c r="G85" s="173">
        <f>E84-E90</f>
        <v>9200000</v>
      </c>
    </row>
    <row r="86" spans="1:8" x14ac:dyDescent="0.25">
      <c r="A86" s="5"/>
      <c r="B86" s="5"/>
      <c r="C86" s="53"/>
      <c r="D86" s="62" t="s">
        <v>136</v>
      </c>
      <c r="E86" s="49">
        <v>3000000</v>
      </c>
      <c r="F86" s="48" t="s">
        <v>1</v>
      </c>
    </row>
    <row r="87" spans="1:8" hidden="1" x14ac:dyDescent="0.25">
      <c r="A87" s="5"/>
      <c r="B87" s="5"/>
      <c r="C87" s="53"/>
      <c r="D87" s="62" t="s">
        <v>136</v>
      </c>
      <c r="E87" s="49">
        <v>0</v>
      </c>
      <c r="F87" s="48" t="s">
        <v>0</v>
      </c>
    </row>
    <row r="88" spans="1:8" x14ac:dyDescent="0.25">
      <c r="A88" s="5"/>
      <c r="B88" s="5"/>
      <c r="C88" s="53"/>
      <c r="D88" s="320" t="s">
        <v>137</v>
      </c>
      <c r="E88" s="278">
        <v>0</v>
      </c>
      <c r="F88" s="48" t="s">
        <v>1</v>
      </c>
      <c r="G88" t="s">
        <v>6</v>
      </c>
    </row>
    <row r="89" spans="1:8" x14ac:dyDescent="0.25">
      <c r="A89" s="5"/>
      <c r="B89" s="5"/>
      <c r="C89" s="53"/>
      <c r="D89" s="63" t="s">
        <v>138</v>
      </c>
      <c r="E89" s="64">
        <v>3000000</v>
      </c>
      <c r="F89" s="230" t="s">
        <v>1</v>
      </c>
      <c r="G89" t="s">
        <v>2</v>
      </c>
    </row>
    <row r="90" spans="1:8" x14ac:dyDescent="0.25">
      <c r="A90" s="5"/>
      <c r="B90" s="5"/>
      <c r="C90" s="53"/>
      <c r="D90" s="63" t="s">
        <v>139</v>
      </c>
      <c r="E90" s="64">
        <v>10200000</v>
      </c>
      <c r="F90" s="63" t="s">
        <v>0</v>
      </c>
    </row>
    <row r="91" spans="1:8" x14ac:dyDescent="0.25">
      <c r="A91" s="5"/>
      <c r="B91" s="5"/>
      <c r="C91" s="53"/>
      <c r="D91" s="63" t="s">
        <v>140</v>
      </c>
      <c r="E91" s="64">
        <f>E92+E93</f>
        <v>3200000</v>
      </c>
      <c r="F91" s="63" t="s">
        <v>1</v>
      </c>
      <c r="G91" t="s">
        <v>6</v>
      </c>
    </row>
    <row r="92" spans="1:8" x14ac:dyDescent="0.25">
      <c r="A92" s="5"/>
      <c r="B92" s="5"/>
      <c r="C92" s="53"/>
      <c r="D92" s="65" t="s">
        <v>141</v>
      </c>
      <c r="E92" s="66">
        <v>1000000</v>
      </c>
      <c r="F92" s="67"/>
    </row>
    <row r="93" spans="1:8" x14ac:dyDescent="0.25">
      <c r="A93" s="5"/>
      <c r="B93" s="5"/>
      <c r="C93" s="53"/>
      <c r="D93" s="65" t="s">
        <v>142</v>
      </c>
      <c r="E93" s="66">
        <v>2200000</v>
      </c>
      <c r="F93" s="67"/>
    </row>
    <row r="94" spans="1:8" ht="30" x14ac:dyDescent="0.25">
      <c r="A94" s="3">
        <v>1</v>
      </c>
      <c r="B94" s="3">
        <v>2</v>
      </c>
      <c r="C94" s="34" t="s">
        <v>98</v>
      </c>
      <c r="D94" s="2" t="s">
        <v>24</v>
      </c>
      <c r="E94" s="35">
        <f>SUM(E95:E96)</f>
        <v>220000000</v>
      </c>
      <c r="F94" s="3" t="s">
        <v>4</v>
      </c>
    </row>
    <row r="95" spans="1:8" hidden="1" x14ac:dyDescent="0.25">
      <c r="A95" s="3"/>
      <c r="B95" s="3"/>
      <c r="C95" s="34"/>
      <c r="D95" s="65" t="s">
        <v>143</v>
      </c>
      <c r="E95" s="37">
        <v>0</v>
      </c>
      <c r="F95" s="36" t="s">
        <v>6</v>
      </c>
    </row>
    <row r="96" spans="1:8" x14ac:dyDescent="0.25">
      <c r="A96" s="5"/>
      <c r="B96" s="5"/>
      <c r="C96" s="53"/>
      <c r="D96" s="65" t="s">
        <v>582</v>
      </c>
      <c r="E96" s="66">
        <v>220000000</v>
      </c>
      <c r="F96" s="67" t="s">
        <v>4</v>
      </c>
      <c r="H96" s="336">
        <f>E96*3%</f>
        <v>6600000</v>
      </c>
    </row>
    <row r="97" spans="1:8" x14ac:dyDescent="0.25">
      <c r="A97" s="5"/>
      <c r="B97" s="5"/>
      <c r="C97" s="53"/>
      <c r="D97" s="276" t="s">
        <v>607</v>
      </c>
      <c r="E97" s="66"/>
      <c r="F97" s="67"/>
    </row>
    <row r="98" spans="1:8" ht="30" x14ac:dyDescent="0.25">
      <c r="A98" s="68">
        <v>1</v>
      </c>
      <c r="B98" s="68">
        <v>3</v>
      </c>
      <c r="C98" s="68"/>
      <c r="D98" s="9" t="s">
        <v>26</v>
      </c>
      <c r="E98" s="33">
        <f>E99+E103+E108+E110</f>
        <v>21000000</v>
      </c>
      <c r="F98" s="69"/>
    </row>
    <row r="99" spans="1:8" x14ac:dyDescent="0.25">
      <c r="A99" s="5">
        <v>1</v>
      </c>
      <c r="B99" s="5">
        <v>3</v>
      </c>
      <c r="C99" s="53" t="s">
        <v>85</v>
      </c>
      <c r="D99" s="70" t="s">
        <v>27</v>
      </c>
      <c r="E99" s="54">
        <f>SUM(E100:E102)</f>
        <v>3000000</v>
      </c>
      <c r="F99" s="12" t="s">
        <v>1</v>
      </c>
      <c r="H99" s="164">
        <f>25000*50</f>
        <v>1250000</v>
      </c>
    </row>
    <row r="100" spans="1:8" x14ac:dyDescent="0.25">
      <c r="A100" s="46"/>
      <c r="B100" s="46"/>
      <c r="C100" s="46"/>
      <c r="D100" s="71" t="s">
        <v>144</v>
      </c>
      <c r="E100" s="50">
        <v>1000000</v>
      </c>
      <c r="F100" s="72"/>
      <c r="H100" s="164">
        <f>7000*50</f>
        <v>350000</v>
      </c>
    </row>
    <row r="101" spans="1:8" x14ac:dyDescent="0.25">
      <c r="A101" s="46"/>
      <c r="B101" s="46"/>
      <c r="C101" s="46"/>
      <c r="D101" s="71" t="s">
        <v>145</v>
      </c>
      <c r="E101" s="50">
        <v>1000000</v>
      </c>
      <c r="F101" s="72"/>
      <c r="H101" s="164">
        <f>SUM(H99:H100)</f>
        <v>1600000</v>
      </c>
    </row>
    <row r="102" spans="1:8" x14ac:dyDescent="0.25">
      <c r="A102" s="46"/>
      <c r="B102" s="46"/>
      <c r="C102" s="46"/>
      <c r="D102" s="71" t="s">
        <v>425</v>
      </c>
      <c r="E102" s="50">
        <v>1000000</v>
      </c>
      <c r="F102" s="72"/>
    </row>
    <row r="103" spans="1:8" x14ac:dyDescent="0.25">
      <c r="A103" s="5">
        <v>1</v>
      </c>
      <c r="B103" s="5">
        <v>3</v>
      </c>
      <c r="C103" s="53" t="s">
        <v>89</v>
      </c>
      <c r="D103" s="5" t="s">
        <v>28</v>
      </c>
      <c r="E103" s="54">
        <f>SUM(E104:E107)</f>
        <v>14000000</v>
      </c>
      <c r="F103" s="5" t="s">
        <v>1</v>
      </c>
    </row>
    <row r="104" spans="1:8" hidden="1" x14ac:dyDescent="0.25">
      <c r="A104" s="46"/>
      <c r="B104" s="46"/>
      <c r="C104" s="46"/>
      <c r="D104" s="42" t="s">
        <v>146</v>
      </c>
      <c r="E104" s="50">
        <v>0</v>
      </c>
      <c r="F104" s="42" t="s">
        <v>6</v>
      </c>
    </row>
    <row r="105" spans="1:8" hidden="1" x14ac:dyDescent="0.25">
      <c r="A105" s="46"/>
      <c r="B105" s="46"/>
      <c r="C105" s="46"/>
      <c r="D105" s="42" t="s">
        <v>128</v>
      </c>
      <c r="E105" s="50">
        <v>0</v>
      </c>
      <c r="F105" s="73"/>
    </row>
    <row r="106" spans="1:8" hidden="1" x14ac:dyDescent="0.25">
      <c r="A106" s="46"/>
      <c r="B106" s="46"/>
      <c r="C106" s="46"/>
      <c r="D106" s="42" t="s">
        <v>145</v>
      </c>
      <c r="E106" s="50">
        <v>0</v>
      </c>
      <c r="F106" s="48" t="s">
        <v>6</v>
      </c>
    </row>
    <row r="107" spans="1:8" x14ac:dyDescent="0.25">
      <c r="A107" s="46"/>
      <c r="B107" s="46"/>
      <c r="C107" s="46"/>
      <c r="D107" s="42" t="s">
        <v>147</v>
      </c>
      <c r="E107" s="50">
        <v>14000000</v>
      </c>
      <c r="F107" s="273" t="s">
        <v>1</v>
      </c>
      <c r="G107" s="186" t="s">
        <v>3</v>
      </c>
    </row>
    <row r="108" spans="1:8" x14ac:dyDescent="0.25">
      <c r="A108" s="3">
        <v>1</v>
      </c>
      <c r="B108" s="3">
        <v>3</v>
      </c>
      <c r="C108" s="34" t="s">
        <v>98</v>
      </c>
      <c r="D108" s="2" t="s">
        <v>29</v>
      </c>
      <c r="E108" s="35">
        <f>SUM(E109:E109)</f>
        <v>2000000</v>
      </c>
      <c r="F108" s="3" t="s">
        <v>2</v>
      </c>
    </row>
    <row r="109" spans="1:8" x14ac:dyDescent="0.25">
      <c r="A109" s="46"/>
      <c r="B109" s="46"/>
      <c r="C109" s="46"/>
      <c r="D109" s="42" t="s">
        <v>144</v>
      </c>
      <c r="E109" s="50">
        <v>2000000</v>
      </c>
      <c r="F109" s="74"/>
    </row>
    <row r="110" spans="1:8" x14ac:dyDescent="0.25">
      <c r="A110" s="3">
        <v>1</v>
      </c>
      <c r="B110" s="3">
        <v>3</v>
      </c>
      <c r="C110" s="34" t="s">
        <v>122</v>
      </c>
      <c r="D110" s="2" t="s">
        <v>30</v>
      </c>
      <c r="E110" s="35">
        <f>SUM(E111:E116)</f>
        <v>2000000</v>
      </c>
      <c r="F110" s="3" t="s">
        <v>1</v>
      </c>
    </row>
    <row r="111" spans="1:8" x14ac:dyDescent="0.25">
      <c r="A111" s="46"/>
      <c r="B111" s="46"/>
      <c r="C111" s="46"/>
      <c r="D111" s="42" t="s">
        <v>148</v>
      </c>
      <c r="E111" s="50">
        <v>2000000</v>
      </c>
      <c r="F111" s="74"/>
    </row>
    <row r="112" spans="1:8" hidden="1" x14ac:dyDescent="0.25">
      <c r="A112" s="46"/>
      <c r="B112" s="46"/>
      <c r="C112" s="46"/>
      <c r="D112" s="42"/>
      <c r="E112" s="50"/>
      <c r="F112" s="74"/>
    </row>
    <row r="113" spans="1:6" ht="15" hidden="1" customHeight="1" x14ac:dyDescent="0.25">
      <c r="A113" s="46"/>
      <c r="B113" s="46"/>
      <c r="C113" s="46"/>
      <c r="D113" s="46" t="s">
        <v>149</v>
      </c>
      <c r="E113" s="75">
        <v>0</v>
      </c>
      <c r="F113" s="46"/>
    </row>
    <row r="114" spans="1:6" ht="15" hidden="1" customHeight="1" x14ac:dyDescent="0.25">
      <c r="A114" s="46"/>
      <c r="B114" s="46"/>
      <c r="C114" s="46"/>
      <c r="D114" s="46" t="s">
        <v>145</v>
      </c>
      <c r="E114" s="75">
        <v>0</v>
      </c>
      <c r="F114" s="46"/>
    </row>
    <row r="115" spans="1:6" ht="15" hidden="1" customHeight="1" x14ac:dyDescent="0.25">
      <c r="A115" s="46"/>
      <c r="B115" s="46"/>
      <c r="C115" s="46"/>
      <c r="D115" s="46" t="s">
        <v>128</v>
      </c>
      <c r="E115" s="75">
        <v>0</v>
      </c>
      <c r="F115" s="46"/>
    </row>
    <row r="116" spans="1:6" ht="15" hidden="1" customHeight="1" x14ac:dyDescent="0.25">
      <c r="A116" s="46"/>
      <c r="B116" s="46"/>
      <c r="C116" s="46"/>
      <c r="D116" s="46" t="s">
        <v>129</v>
      </c>
      <c r="E116" s="75">
        <v>0</v>
      </c>
      <c r="F116" s="5"/>
    </row>
    <row r="117" spans="1:6" ht="15" hidden="1" customHeight="1" x14ac:dyDescent="0.25">
      <c r="A117" s="46"/>
      <c r="B117" s="46"/>
      <c r="C117" s="46"/>
      <c r="D117" s="46" t="s">
        <v>150</v>
      </c>
      <c r="E117" s="75">
        <v>0</v>
      </c>
      <c r="F117" s="5"/>
    </row>
    <row r="118" spans="1:6" ht="30" x14ac:dyDescent="0.25">
      <c r="A118" s="68">
        <v>1</v>
      </c>
      <c r="B118" s="68">
        <v>4</v>
      </c>
      <c r="C118" s="68"/>
      <c r="D118" s="9" t="s">
        <v>31</v>
      </c>
      <c r="E118" s="33">
        <f>E119+E122+E125+E132+E138+E141</f>
        <v>25100000</v>
      </c>
      <c r="F118" s="68"/>
    </row>
    <row r="119" spans="1:6" ht="30" x14ac:dyDescent="0.25">
      <c r="A119" s="3">
        <v>1</v>
      </c>
      <c r="B119" s="3">
        <v>4</v>
      </c>
      <c r="C119" s="34" t="s">
        <v>85</v>
      </c>
      <c r="D119" s="2" t="s">
        <v>32</v>
      </c>
      <c r="E119" s="35">
        <f>SUM(E120:E121)</f>
        <v>3000000</v>
      </c>
      <c r="F119" s="3" t="s">
        <v>0</v>
      </c>
    </row>
    <row r="120" spans="1:6" x14ac:dyDescent="0.25">
      <c r="A120" s="46"/>
      <c r="B120" s="46"/>
      <c r="C120" s="46"/>
      <c r="D120" s="48" t="s">
        <v>128</v>
      </c>
      <c r="E120" s="49">
        <v>3000000</v>
      </c>
      <c r="F120" s="48" t="s">
        <v>0</v>
      </c>
    </row>
    <row r="121" spans="1:6" hidden="1" x14ac:dyDescent="0.25">
      <c r="A121" s="46"/>
      <c r="B121" s="46"/>
      <c r="C121" s="46"/>
      <c r="D121" s="48" t="s">
        <v>151</v>
      </c>
      <c r="E121" s="49">
        <v>0</v>
      </c>
      <c r="F121" s="48" t="s">
        <v>1</v>
      </c>
    </row>
    <row r="122" spans="1:6" x14ac:dyDescent="0.25">
      <c r="A122" s="5">
        <v>1</v>
      </c>
      <c r="B122" s="5">
        <v>4</v>
      </c>
      <c r="C122" s="53" t="s">
        <v>89</v>
      </c>
      <c r="D122" s="5" t="s">
        <v>33</v>
      </c>
      <c r="E122" s="54">
        <f>SUM(E123:E124)</f>
        <v>3000000</v>
      </c>
      <c r="F122" s="5" t="s">
        <v>1</v>
      </c>
    </row>
    <row r="123" spans="1:6" x14ac:dyDescent="0.25">
      <c r="A123" s="5"/>
      <c r="B123" s="5"/>
      <c r="C123" s="53"/>
      <c r="D123" s="48" t="s">
        <v>128</v>
      </c>
      <c r="E123" s="49">
        <v>3000000</v>
      </c>
      <c r="F123" s="48" t="s">
        <v>1</v>
      </c>
    </row>
    <row r="124" spans="1:6" hidden="1" x14ac:dyDescent="0.25">
      <c r="A124" s="5"/>
      <c r="B124" s="5"/>
      <c r="C124" s="53"/>
      <c r="D124" s="48" t="s">
        <v>145</v>
      </c>
      <c r="E124" s="49">
        <v>0</v>
      </c>
      <c r="F124" s="48" t="s">
        <v>1</v>
      </c>
    </row>
    <row r="125" spans="1:6" ht="35.25" customHeight="1" x14ac:dyDescent="0.25">
      <c r="A125" s="3">
        <v>1</v>
      </c>
      <c r="B125" s="3">
        <v>4</v>
      </c>
      <c r="C125" s="34" t="s">
        <v>98</v>
      </c>
      <c r="D125" s="2" t="s">
        <v>34</v>
      </c>
      <c r="E125" s="35">
        <f>SUM(E126:E131)</f>
        <v>9500000</v>
      </c>
      <c r="F125" s="2" t="s">
        <v>1</v>
      </c>
    </row>
    <row r="126" spans="1:6" hidden="1" x14ac:dyDescent="0.25">
      <c r="A126" s="46"/>
      <c r="B126" s="46"/>
      <c r="C126" s="46"/>
      <c r="D126" s="42" t="s">
        <v>152</v>
      </c>
      <c r="E126" s="50">
        <v>0</v>
      </c>
      <c r="F126" s="42" t="s">
        <v>6</v>
      </c>
    </row>
    <row r="127" spans="1:6" x14ac:dyDescent="0.25">
      <c r="A127" s="46"/>
      <c r="B127" s="46"/>
      <c r="C127" s="46"/>
      <c r="D127" s="42" t="s">
        <v>128</v>
      </c>
      <c r="E127" s="50">
        <v>2000000</v>
      </c>
      <c r="F127" s="42" t="s">
        <v>1</v>
      </c>
    </row>
    <row r="128" spans="1:6" x14ac:dyDescent="0.25">
      <c r="A128" s="46"/>
      <c r="B128" s="46"/>
      <c r="C128" s="46"/>
      <c r="D128" s="42" t="s">
        <v>153</v>
      </c>
      <c r="E128" s="49">
        <v>6000000</v>
      </c>
      <c r="F128" s="42" t="s">
        <v>1</v>
      </c>
    </row>
    <row r="129" spans="1:7" x14ac:dyDescent="0.25">
      <c r="A129" s="46"/>
      <c r="B129" s="46"/>
      <c r="C129" s="46"/>
      <c r="D129" s="42" t="s">
        <v>154</v>
      </c>
      <c r="E129" s="49">
        <v>1500000</v>
      </c>
      <c r="F129" s="42" t="s">
        <v>1</v>
      </c>
    </row>
    <row r="130" spans="1:7" hidden="1" x14ac:dyDescent="0.25">
      <c r="A130" s="46"/>
      <c r="B130" s="46"/>
      <c r="C130" s="46"/>
      <c r="D130" s="42" t="s">
        <v>155</v>
      </c>
      <c r="E130" s="49">
        <v>0</v>
      </c>
      <c r="F130" s="42" t="s">
        <v>1</v>
      </c>
    </row>
    <row r="131" spans="1:7" hidden="1" x14ac:dyDescent="0.25">
      <c r="A131" s="46"/>
      <c r="B131" s="46"/>
      <c r="C131" s="46"/>
      <c r="D131" s="42" t="s">
        <v>129</v>
      </c>
      <c r="E131" s="49">
        <v>0</v>
      </c>
      <c r="F131" s="42" t="s">
        <v>9</v>
      </c>
    </row>
    <row r="132" spans="1:7" x14ac:dyDescent="0.25">
      <c r="A132" s="5">
        <v>1</v>
      </c>
      <c r="B132" s="5">
        <v>4</v>
      </c>
      <c r="C132" s="53" t="s">
        <v>109</v>
      </c>
      <c r="D132" s="5" t="s">
        <v>35</v>
      </c>
      <c r="E132" s="54">
        <f>SUM(E133:E137)</f>
        <v>1000000</v>
      </c>
      <c r="F132" s="5" t="s">
        <v>2</v>
      </c>
    </row>
    <row r="133" spans="1:7" hidden="1" x14ac:dyDescent="0.25">
      <c r="A133" s="46"/>
      <c r="B133" s="46"/>
      <c r="C133" s="46"/>
      <c r="D133" s="42" t="s">
        <v>157</v>
      </c>
      <c r="E133" s="51">
        <v>0</v>
      </c>
      <c r="F133" s="42" t="s">
        <v>0</v>
      </c>
      <c r="G133" s="173">
        <f>E133/12</f>
        <v>0</v>
      </c>
    </row>
    <row r="134" spans="1:7" hidden="1" x14ac:dyDescent="0.25">
      <c r="A134" s="46"/>
      <c r="B134" s="46"/>
      <c r="C134" s="46"/>
      <c r="D134" s="52" t="s">
        <v>158</v>
      </c>
      <c r="E134" s="50">
        <v>0</v>
      </c>
      <c r="F134" s="42" t="s">
        <v>6</v>
      </c>
    </row>
    <row r="135" spans="1:7" hidden="1" x14ac:dyDescent="0.25">
      <c r="A135" s="46"/>
      <c r="B135" s="46"/>
      <c r="C135" s="46"/>
      <c r="D135" s="42" t="s">
        <v>158</v>
      </c>
      <c r="E135" s="50">
        <v>0</v>
      </c>
      <c r="F135" s="42" t="s">
        <v>1</v>
      </c>
    </row>
    <row r="136" spans="1:7" x14ac:dyDescent="0.25">
      <c r="A136" s="46"/>
      <c r="B136" s="46"/>
      <c r="C136" s="46"/>
      <c r="D136" s="42" t="s">
        <v>128</v>
      </c>
      <c r="E136" s="50">
        <v>1000000</v>
      </c>
      <c r="F136" s="42" t="s">
        <v>2</v>
      </c>
    </row>
    <row r="137" spans="1:7" hidden="1" x14ac:dyDescent="0.25">
      <c r="A137" s="46"/>
      <c r="B137" s="46"/>
      <c r="C137" s="46"/>
      <c r="D137" s="42" t="s">
        <v>149</v>
      </c>
      <c r="E137" s="50">
        <v>0</v>
      </c>
      <c r="F137" s="42" t="s">
        <v>1</v>
      </c>
    </row>
    <row r="138" spans="1:7" ht="30" x14ac:dyDescent="0.25">
      <c r="A138" s="3">
        <v>1</v>
      </c>
      <c r="B138" s="3">
        <v>4</v>
      </c>
      <c r="C138" s="34" t="s">
        <v>159</v>
      </c>
      <c r="D138" s="2" t="s">
        <v>36</v>
      </c>
      <c r="E138" s="35">
        <f>SUM(E139:E140)</f>
        <v>2000000</v>
      </c>
      <c r="F138" s="3" t="s">
        <v>1</v>
      </c>
    </row>
    <row r="139" spans="1:7" x14ac:dyDescent="0.25">
      <c r="A139" s="46"/>
      <c r="B139" s="46"/>
      <c r="C139" s="46"/>
      <c r="D139" s="42" t="s">
        <v>128</v>
      </c>
      <c r="E139" s="50">
        <v>1000000</v>
      </c>
      <c r="F139" s="76"/>
    </row>
    <row r="140" spans="1:7" x14ac:dyDescent="0.25">
      <c r="A140" s="46"/>
      <c r="B140" s="46"/>
      <c r="C140" s="46"/>
      <c r="D140" s="42" t="s">
        <v>152</v>
      </c>
      <c r="E140" s="50">
        <v>1000000</v>
      </c>
      <c r="F140" s="76"/>
    </row>
    <row r="141" spans="1:7" x14ac:dyDescent="0.25">
      <c r="A141" s="5">
        <v>1</v>
      </c>
      <c r="B141" s="5">
        <v>4</v>
      </c>
      <c r="C141" s="53" t="s">
        <v>160</v>
      </c>
      <c r="D141" s="5" t="s">
        <v>37</v>
      </c>
      <c r="E141" s="54">
        <f>SUM(E142:E144)</f>
        <v>6600000</v>
      </c>
      <c r="F141" s="5" t="s">
        <v>0</v>
      </c>
    </row>
    <row r="142" spans="1:7" x14ac:dyDescent="0.25">
      <c r="A142" s="46"/>
      <c r="B142" s="46"/>
      <c r="C142" s="46"/>
      <c r="D142" s="46" t="s">
        <v>161</v>
      </c>
      <c r="E142" s="50">
        <f>550000*12</f>
        <v>6600000</v>
      </c>
      <c r="F142" s="46" t="s">
        <v>0</v>
      </c>
      <c r="G142" s="173">
        <f>E142/12</f>
        <v>550000</v>
      </c>
    </row>
    <row r="143" spans="1:7" hidden="1" x14ac:dyDescent="0.25">
      <c r="A143" s="46"/>
      <c r="B143" s="46"/>
      <c r="C143" s="46"/>
      <c r="D143" s="77" t="s">
        <v>162</v>
      </c>
      <c r="E143" s="49">
        <v>0</v>
      </c>
      <c r="F143" s="77"/>
    </row>
    <row r="144" spans="1:7" hidden="1" x14ac:dyDescent="0.25">
      <c r="A144" s="46"/>
      <c r="B144" s="46"/>
      <c r="C144" s="46"/>
      <c r="D144" s="46" t="s">
        <v>129</v>
      </c>
      <c r="E144" s="75">
        <v>0</v>
      </c>
      <c r="F144" s="46" t="s">
        <v>6</v>
      </c>
    </row>
    <row r="145" spans="1:8" ht="37.5" hidden="1" customHeight="1" x14ac:dyDescent="0.25">
      <c r="A145" s="3">
        <v>1</v>
      </c>
      <c r="B145" s="3">
        <v>4</v>
      </c>
      <c r="C145" s="34" t="s">
        <v>163</v>
      </c>
      <c r="D145" s="78" t="s">
        <v>164</v>
      </c>
      <c r="E145" s="35">
        <f>E146</f>
        <v>0</v>
      </c>
      <c r="F145" s="3"/>
    </row>
    <row r="146" spans="1:8" hidden="1" x14ac:dyDescent="0.25">
      <c r="A146" s="46"/>
      <c r="B146" s="46"/>
      <c r="C146" s="46"/>
      <c r="D146" s="46" t="s">
        <v>165</v>
      </c>
      <c r="E146" s="75"/>
      <c r="F146" s="46"/>
    </row>
    <row r="147" spans="1:8" hidden="1" x14ac:dyDescent="0.25">
      <c r="A147" s="46"/>
      <c r="B147" s="46"/>
      <c r="C147" s="46"/>
      <c r="D147" s="46"/>
      <c r="E147" s="75"/>
      <c r="F147" s="46"/>
    </row>
    <row r="148" spans="1:8" x14ac:dyDescent="0.25">
      <c r="A148" s="8">
        <v>1</v>
      </c>
      <c r="B148" s="8">
        <v>5</v>
      </c>
      <c r="C148" s="8"/>
      <c r="D148" s="10" t="s">
        <v>38</v>
      </c>
      <c r="E148" s="57">
        <f>E149+E152+E158</f>
        <v>17500000</v>
      </c>
      <c r="F148" s="8"/>
      <c r="H148" s="164">
        <v>800000</v>
      </c>
    </row>
    <row r="149" spans="1:8" ht="29.25" hidden="1" customHeight="1" x14ac:dyDescent="0.25">
      <c r="A149" s="3">
        <v>1</v>
      </c>
      <c r="B149" s="3">
        <v>5</v>
      </c>
      <c r="C149" s="34" t="s">
        <v>98</v>
      </c>
      <c r="D149" s="2" t="s">
        <v>39</v>
      </c>
      <c r="E149" s="35">
        <f>SUM(E150:E151)</f>
        <v>0</v>
      </c>
      <c r="F149" s="3" t="s">
        <v>1</v>
      </c>
    </row>
    <row r="150" spans="1:8" hidden="1" x14ac:dyDescent="0.25">
      <c r="A150" s="46"/>
      <c r="B150" s="46"/>
      <c r="C150" s="46"/>
      <c r="D150" s="42" t="s">
        <v>144</v>
      </c>
      <c r="E150" s="50">
        <v>0</v>
      </c>
      <c r="F150" s="42"/>
    </row>
    <row r="151" spans="1:8" hidden="1" x14ac:dyDescent="0.25">
      <c r="A151" s="46"/>
      <c r="B151" s="46"/>
      <c r="C151" s="46"/>
      <c r="D151" s="42" t="s">
        <v>166</v>
      </c>
      <c r="E151" s="50">
        <v>0</v>
      </c>
      <c r="F151" s="42"/>
    </row>
    <row r="152" spans="1:8" x14ac:dyDescent="0.25">
      <c r="A152" s="5">
        <v>1</v>
      </c>
      <c r="B152" s="5">
        <v>5</v>
      </c>
      <c r="C152" s="53" t="s">
        <v>125</v>
      </c>
      <c r="D152" s="79" t="s">
        <v>40</v>
      </c>
      <c r="E152" s="64">
        <f>SUM(E153:E157)</f>
        <v>17500000</v>
      </c>
      <c r="F152" s="63" t="s">
        <v>1</v>
      </c>
      <c r="H152" s="164">
        <v>700000</v>
      </c>
    </row>
    <row r="153" spans="1:8" x14ac:dyDescent="0.25">
      <c r="A153" s="5"/>
      <c r="B153" s="5"/>
      <c r="C153" s="53"/>
      <c r="D153" s="42" t="s">
        <v>547</v>
      </c>
      <c r="E153" s="50">
        <v>5000000</v>
      </c>
      <c r="F153" s="63"/>
      <c r="H153" s="164">
        <v>700000</v>
      </c>
    </row>
    <row r="154" spans="1:8" hidden="1" x14ac:dyDescent="0.25">
      <c r="A154" s="5"/>
      <c r="B154" s="5"/>
      <c r="C154" s="53"/>
      <c r="D154" s="42" t="s">
        <v>544</v>
      </c>
      <c r="E154" s="50">
        <v>0</v>
      </c>
      <c r="F154" s="63"/>
    </row>
    <row r="155" spans="1:8" hidden="1" x14ac:dyDescent="0.25">
      <c r="A155" s="5"/>
      <c r="B155" s="5"/>
      <c r="C155" s="53"/>
      <c r="D155" s="42" t="s">
        <v>545</v>
      </c>
      <c r="E155" s="50">
        <v>0</v>
      </c>
      <c r="F155" s="63"/>
    </row>
    <row r="156" spans="1:8" x14ac:dyDescent="0.25">
      <c r="A156" s="5"/>
      <c r="B156" s="5"/>
      <c r="C156" s="53"/>
      <c r="D156" s="42" t="s">
        <v>546</v>
      </c>
      <c r="E156" s="50">
        <v>10000000</v>
      </c>
      <c r="F156" s="63"/>
      <c r="H156" s="164">
        <f>600000*3</f>
        <v>1800000</v>
      </c>
    </row>
    <row r="157" spans="1:8" x14ac:dyDescent="0.25">
      <c r="A157" s="5"/>
      <c r="B157" s="5"/>
      <c r="C157" s="53"/>
      <c r="D157" s="42" t="s">
        <v>167</v>
      </c>
      <c r="E157" s="50">
        <v>2500000</v>
      </c>
      <c r="F157" s="42"/>
      <c r="H157" s="164">
        <f>500000*12</f>
        <v>6000000</v>
      </c>
    </row>
    <row r="158" spans="1:8" hidden="1" x14ac:dyDescent="0.25">
      <c r="A158" s="3">
        <v>1</v>
      </c>
      <c r="B158" s="81">
        <v>5</v>
      </c>
      <c r="C158" s="82" t="s">
        <v>159</v>
      </c>
      <c r="D158" s="83" t="s">
        <v>168</v>
      </c>
      <c r="E158" s="84">
        <f>E159</f>
        <v>0</v>
      </c>
      <c r="F158" s="81" t="s">
        <v>169</v>
      </c>
    </row>
    <row r="159" spans="1:8" hidden="1" x14ac:dyDescent="0.25">
      <c r="A159" s="46"/>
      <c r="B159" s="85"/>
      <c r="C159" s="85"/>
      <c r="D159" s="86" t="s">
        <v>170</v>
      </c>
      <c r="E159" s="87">
        <v>0</v>
      </c>
      <c r="F159" s="85"/>
    </row>
    <row r="160" spans="1:8" x14ac:dyDescent="0.25">
      <c r="A160" s="11">
        <v>2</v>
      </c>
      <c r="B160" s="11"/>
      <c r="C160" s="11"/>
      <c r="D160" s="11" t="s">
        <v>41</v>
      </c>
      <c r="E160" s="88">
        <f>E161+E205+E261+E291+E322+E329+E343+E348</f>
        <v>851105028.13999999</v>
      </c>
      <c r="F160" s="11"/>
      <c r="H160" s="164">
        <f>SUM(H148:H157)</f>
        <v>10000000</v>
      </c>
    </row>
    <row r="161" spans="1:8" x14ac:dyDescent="0.25">
      <c r="A161" s="8">
        <v>2</v>
      </c>
      <c r="B161" s="8">
        <v>1</v>
      </c>
      <c r="C161" s="8"/>
      <c r="D161" s="10" t="s">
        <v>42</v>
      </c>
      <c r="E161" s="57">
        <f>E162+E170+E172+E175+E179+E186+E189+E196+E203</f>
        <v>109264493.16</v>
      </c>
      <c r="F161" s="8"/>
    </row>
    <row r="162" spans="1:8" ht="36" customHeight="1" x14ac:dyDescent="0.25">
      <c r="A162" s="3">
        <v>2</v>
      </c>
      <c r="B162" s="3">
        <v>1</v>
      </c>
      <c r="C162" s="34" t="s">
        <v>85</v>
      </c>
      <c r="D162" s="2" t="s">
        <v>43</v>
      </c>
      <c r="E162" s="35">
        <f>SUM(E163:E166)</f>
        <v>39600000</v>
      </c>
      <c r="F162" s="2" t="s">
        <v>605</v>
      </c>
    </row>
    <row r="163" spans="1:8" x14ac:dyDescent="0.25">
      <c r="A163" s="46"/>
      <c r="B163" s="46"/>
      <c r="C163" s="46"/>
      <c r="D163" s="42" t="s">
        <v>171</v>
      </c>
      <c r="E163" s="50">
        <f>1800000*12</f>
        <v>21600000</v>
      </c>
      <c r="F163" s="42" t="s">
        <v>3</v>
      </c>
      <c r="G163" s="173">
        <f>E163/12</f>
        <v>1800000</v>
      </c>
    </row>
    <row r="164" spans="1:8" x14ac:dyDescent="0.25">
      <c r="A164" s="46"/>
      <c r="B164" s="46"/>
      <c r="C164" s="46"/>
      <c r="D164" s="42" t="s">
        <v>172</v>
      </c>
      <c r="E164" s="50">
        <f>1300000*12</f>
        <v>15600000</v>
      </c>
      <c r="F164" s="52" t="s">
        <v>9</v>
      </c>
      <c r="G164" s="173">
        <f>E164/12</f>
        <v>1300000</v>
      </c>
      <c r="H164" s="164" t="s">
        <v>3</v>
      </c>
    </row>
    <row r="165" spans="1:8" x14ac:dyDescent="0.25">
      <c r="A165" s="46"/>
      <c r="B165" s="46"/>
      <c r="C165" s="46"/>
      <c r="D165" s="42" t="s">
        <v>173</v>
      </c>
      <c r="E165" s="50">
        <v>1200000</v>
      </c>
      <c r="F165" s="42" t="s">
        <v>3</v>
      </c>
      <c r="G165" s="173">
        <f>E162-E164</f>
        <v>24000000</v>
      </c>
    </row>
    <row r="166" spans="1:8" x14ac:dyDescent="0.25">
      <c r="A166" s="46"/>
      <c r="B166" s="46"/>
      <c r="C166" s="46"/>
      <c r="D166" s="42" t="s">
        <v>174</v>
      </c>
      <c r="E166" s="50">
        <v>1200000</v>
      </c>
      <c r="F166" s="42" t="s">
        <v>3</v>
      </c>
    </row>
    <row r="167" spans="1:8" hidden="1" x14ac:dyDescent="0.25">
      <c r="A167" s="5">
        <v>2</v>
      </c>
      <c r="B167" s="5">
        <v>1</v>
      </c>
      <c r="C167" s="53" t="s">
        <v>89</v>
      </c>
      <c r="D167" s="5" t="s">
        <v>175</v>
      </c>
      <c r="E167" s="54"/>
      <c r="F167" s="5"/>
    </row>
    <row r="168" spans="1:8" hidden="1" x14ac:dyDescent="0.25">
      <c r="A168" s="5"/>
      <c r="B168" s="5"/>
      <c r="C168" s="53"/>
      <c r="D168" s="5"/>
      <c r="E168" s="54"/>
      <c r="F168" s="5"/>
    </row>
    <row r="169" spans="1:8" hidden="1" x14ac:dyDescent="0.25">
      <c r="A169" s="5"/>
      <c r="B169" s="5"/>
      <c r="C169" s="53"/>
      <c r="D169" s="5"/>
      <c r="E169" s="54"/>
      <c r="F169" s="5"/>
    </row>
    <row r="170" spans="1:8" hidden="1" x14ac:dyDescent="0.25">
      <c r="A170" s="89">
        <v>2</v>
      </c>
      <c r="B170" s="89">
        <v>1</v>
      </c>
      <c r="C170" s="90" t="s">
        <v>98</v>
      </c>
      <c r="D170" s="89" t="s">
        <v>176</v>
      </c>
      <c r="E170" s="91">
        <f>E171</f>
        <v>0</v>
      </c>
      <c r="F170" s="5" t="s">
        <v>3</v>
      </c>
    </row>
    <row r="171" spans="1:8" hidden="1" x14ac:dyDescent="0.25">
      <c r="A171" s="89"/>
      <c r="B171" s="89"/>
      <c r="C171" s="90"/>
      <c r="D171" s="48" t="s">
        <v>177</v>
      </c>
      <c r="E171" s="49">
        <v>0</v>
      </c>
      <c r="F171" s="5"/>
    </row>
    <row r="172" spans="1:8" ht="29.25" customHeight="1" x14ac:dyDescent="0.25">
      <c r="A172" s="3">
        <v>2</v>
      </c>
      <c r="B172" s="3">
        <v>1</v>
      </c>
      <c r="C172" s="34" t="s">
        <v>109</v>
      </c>
      <c r="D172" s="2" t="s">
        <v>44</v>
      </c>
      <c r="E172" s="35">
        <f>E173</f>
        <v>1912754.34</v>
      </c>
      <c r="F172" s="3" t="s">
        <v>1</v>
      </c>
    </row>
    <row r="173" spans="1:8" ht="18.75" customHeight="1" x14ac:dyDescent="0.25">
      <c r="A173" s="5"/>
      <c r="B173" s="5"/>
      <c r="C173" s="53"/>
      <c r="D173" s="71" t="s">
        <v>178</v>
      </c>
      <c r="E173" s="323">
        <v>1912754.34</v>
      </c>
      <c r="F173" s="92"/>
    </row>
    <row r="174" spans="1:8" hidden="1" x14ac:dyDescent="0.25">
      <c r="A174" s="5"/>
      <c r="B174" s="5"/>
      <c r="C174" s="53"/>
      <c r="D174" s="12"/>
      <c r="E174" s="54"/>
      <c r="F174" s="5"/>
    </row>
    <row r="175" spans="1:8" ht="30" x14ac:dyDescent="0.25">
      <c r="A175" s="3">
        <v>2</v>
      </c>
      <c r="B175" s="3">
        <v>1</v>
      </c>
      <c r="C175" s="34" t="s">
        <v>122</v>
      </c>
      <c r="D175" s="2" t="s">
        <v>45</v>
      </c>
      <c r="E175" s="35">
        <f>E176</f>
        <v>4251738.82</v>
      </c>
      <c r="F175" s="3" t="s">
        <v>6</v>
      </c>
    </row>
    <row r="176" spans="1:8" x14ac:dyDescent="0.25">
      <c r="A176" s="3"/>
      <c r="B176" s="3"/>
      <c r="C176" s="34"/>
      <c r="D176" s="207" t="s">
        <v>598</v>
      </c>
      <c r="E176" s="322">
        <v>4251738.82</v>
      </c>
      <c r="F176" s="227" t="s">
        <v>6</v>
      </c>
      <c r="G176" t="s">
        <v>3</v>
      </c>
    </row>
    <row r="177" spans="1:9" hidden="1" x14ac:dyDescent="0.25">
      <c r="A177" s="3"/>
      <c r="B177" s="3"/>
      <c r="C177" s="34"/>
      <c r="D177" s="43" t="s">
        <v>180</v>
      </c>
      <c r="E177" s="37">
        <v>0</v>
      </c>
      <c r="F177" s="36"/>
    </row>
    <row r="178" spans="1:9" hidden="1" x14ac:dyDescent="0.25">
      <c r="A178" s="3"/>
      <c r="B178" s="3"/>
      <c r="C178" s="34"/>
      <c r="D178" s="43" t="s">
        <v>181</v>
      </c>
      <c r="E178" s="37">
        <v>0</v>
      </c>
      <c r="F178" s="36"/>
    </row>
    <row r="179" spans="1:9" s="185" customFormat="1" ht="45" x14ac:dyDescent="0.25">
      <c r="A179" s="3">
        <v>2</v>
      </c>
      <c r="B179" s="3">
        <v>1</v>
      </c>
      <c r="C179" s="34" t="s">
        <v>125</v>
      </c>
      <c r="D179" s="2" t="s">
        <v>182</v>
      </c>
      <c r="E179" s="35">
        <f>SUM(E180:E185)</f>
        <v>2000000</v>
      </c>
      <c r="F179" s="3" t="s">
        <v>6</v>
      </c>
      <c r="H179" s="255"/>
      <c r="I179" s="255"/>
    </row>
    <row r="180" spans="1:9" x14ac:dyDescent="0.25">
      <c r="A180" s="3"/>
      <c r="B180" s="3"/>
      <c r="C180" s="34"/>
      <c r="D180" s="43" t="s">
        <v>562</v>
      </c>
      <c r="E180" s="40">
        <v>2000000</v>
      </c>
      <c r="F180" s="227" t="s">
        <v>6</v>
      </c>
      <c r="G180" t="s">
        <v>3</v>
      </c>
    </row>
    <row r="181" spans="1:9" hidden="1" x14ac:dyDescent="0.25">
      <c r="A181" s="3"/>
      <c r="B181" s="3"/>
      <c r="C181" s="34"/>
      <c r="D181" s="43" t="s">
        <v>184</v>
      </c>
      <c r="E181" s="37">
        <v>0</v>
      </c>
      <c r="F181" s="36"/>
    </row>
    <row r="182" spans="1:9" hidden="1" x14ac:dyDescent="0.25">
      <c r="A182" s="3"/>
      <c r="B182" s="3"/>
      <c r="C182" s="34"/>
      <c r="D182" s="43" t="s">
        <v>185</v>
      </c>
      <c r="E182" s="37"/>
      <c r="F182" s="36"/>
    </row>
    <row r="183" spans="1:9" hidden="1" x14ac:dyDescent="0.25">
      <c r="A183" s="3"/>
      <c r="B183" s="3"/>
      <c r="C183" s="34"/>
      <c r="D183" s="43" t="s">
        <v>186</v>
      </c>
      <c r="E183" s="37"/>
      <c r="F183" s="36"/>
    </row>
    <row r="184" spans="1:9" hidden="1" x14ac:dyDescent="0.25">
      <c r="A184" s="3"/>
      <c r="B184" s="3"/>
      <c r="C184" s="34"/>
      <c r="D184" s="43" t="s">
        <v>187</v>
      </c>
      <c r="E184" s="37"/>
      <c r="F184" s="36"/>
    </row>
    <row r="185" spans="1:9" hidden="1" x14ac:dyDescent="0.25">
      <c r="A185" s="3"/>
      <c r="B185" s="3"/>
      <c r="C185" s="34"/>
      <c r="D185" s="43" t="s">
        <v>408</v>
      </c>
      <c r="E185" s="37">
        <v>0</v>
      </c>
      <c r="F185" s="76"/>
    </row>
    <row r="186" spans="1:9" s="185" customFormat="1" ht="30" hidden="1" x14ac:dyDescent="0.25">
      <c r="A186" s="3">
        <v>2</v>
      </c>
      <c r="B186" s="3">
        <v>1</v>
      </c>
      <c r="C186" s="34" t="s">
        <v>159</v>
      </c>
      <c r="D186" s="2" t="s">
        <v>188</v>
      </c>
      <c r="E186" s="35">
        <f>SUM(E187:E188)</f>
        <v>0</v>
      </c>
      <c r="F186" s="3" t="s">
        <v>3</v>
      </c>
      <c r="H186" s="255"/>
      <c r="I186" s="255"/>
    </row>
    <row r="187" spans="1:9" hidden="1" x14ac:dyDescent="0.25">
      <c r="A187" s="3"/>
      <c r="B187" s="3"/>
      <c r="C187" s="34"/>
      <c r="D187" s="43" t="s">
        <v>189</v>
      </c>
      <c r="E187" s="37">
        <v>0</v>
      </c>
      <c r="F187" s="3"/>
    </row>
    <row r="188" spans="1:9" hidden="1" x14ac:dyDescent="0.25">
      <c r="A188" s="3"/>
      <c r="B188" s="3"/>
      <c r="C188" s="34"/>
      <c r="D188" s="43" t="s">
        <v>190</v>
      </c>
      <c r="E188" s="37">
        <v>0</v>
      </c>
      <c r="F188" s="3"/>
    </row>
    <row r="189" spans="1:9" x14ac:dyDescent="0.25">
      <c r="A189" s="5">
        <v>2</v>
      </c>
      <c r="B189" s="5">
        <v>1</v>
      </c>
      <c r="C189" s="53" t="s">
        <v>160</v>
      </c>
      <c r="D189" s="12" t="s">
        <v>46</v>
      </c>
      <c r="E189" s="54">
        <f>E190+E192+E193+E194+E195</f>
        <v>44500000</v>
      </c>
      <c r="F189" s="5" t="s">
        <v>3</v>
      </c>
    </row>
    <row r="190" spans="1:9" x14ac:dyDescent="0.25">
      <c r="A190" s="5"/>
      <c r="B190" s="5"/>
      <c r="C190" s="53"/>
      <c r="D190" s="71" t="s">
        <v>191</v>
      </c>
      <c r="E190" s="50">
        <v>36000000</v>
      </c>
      <c r="F190" s="5"/>
      <c r="H190" s="164">
        <f>E190/12</f>
        <v>3000000</v>
      </c>
      <c r="I190" s="164">
        <f>H190/2</f>
        <v>1500000</v>
      </c>
    </row>
    <row r="191" spans="1:9" hidden="1" x14ac:dyDescent="0.25">
      <c r="A191" s="5"/>
      <c r="B191" s="5"/>
      <c r="C191" s="53"/>
      <c r="D191" s="71" t="s">
        <v>192</v>
      </c>
      <c r="E191" s="50">
        <v>0</v>
      </c>
      <c r="F191" s="5"/>
    </row>
    <row r="192" spans="1:9" x14ac:dyDescent="0.25">
      <c r="A192" s="5"/>
      <c r="B192" s="5"/>
      <c r="C192" s="53"/>
      <c r="D192" s="71" t="s">
        <v>149</v>
      </c>
      <c r="E192" s="50">
        <v>2000000</v>
      </c>
      <c r="F192" s="5"/>
    </row>
    <row r="193" spans="1:8" ht="12.75" customHeight="1" x14ac:dyDescent="0.25">
      <c r="A193" s="5"/>
      <c r="B193" s="5"/>
      <c r="C193" s="53"/>
      <c r="D193" s="71" t="s">
        <v>193</v>
      </c>
      <c r="E193" s="50">
        <v>500000</v>
      </c>
      <c r="F193" s="5"/>
    </row>
    <row r="194" spans="1:8" x14ac:dyDescent="0.25">
      <c r="A194" s="5"/>
      <c r="B194" s="5"/>
      <c r="C194" s="53"/>
      <c r="D194" s="71" t="s">
        <v>194</v>
      </c>
      <c r="E194" s="50">
        <v>3000000</v>
      </c>
      <c r="F194" s="5"/>
      <c r="H194" s="164">
        <f>E194/12</f>
        <v>250000</v>
      </c>
    </row>
    <row r="195" spans="1:8" x14ac:dyDescent="0.25">
      <c r="A195" s="5"/>
      <c r="B195" s="5"/>
      <c r="C195" s="53"/>
      <c r="D195" s="71" t="s">
        <v>195</v>
      </c>
      <c r="E195" s="50">
        <v>3000000</v>
      </c>
      <c r="F195" s="5"/>
      <c r="H195" s="164">
        <f>E195/12</f>
        <v>250000</v>
      </c>
    </row>
    <row r="196" spans="1:8" x14ac:dyDescent="0.25">
      <c r="A196" s="5">
        <v>2</v>
      </c>
      <c r="B196" s="5">
        <v>1</v>
      </c>
      <c r="C196" s="53" t="s">
        <v>196</v>
      </c>
      <c r="D196" s="12" t="s">
        <v>197</v>
      </c>
      <c r="E196" s="54">
        <f>SUM(E197:E200)</f>
        <v>12000000</v>
      </c>
      <c r="F196" s="5" t="s">
        <v>3</v>
      </c>
    </row>
    <row r="197" spans="1:8" x14ac:dyDescent="0.25">
      <c r="A197" s="5"/>
      <c r="B197" s="5"/>
      <c r="C197" s="53"/>
      <c r="D197" s="71" t="s">
        <v>548</v>
      </c>
      <c r="E197" s="51">
        <v>4000000</v>
      </c>
      <c r="F197" s="42"/>
    </row>
    <row r="198" spans="1:8" x14ac:dyDescent="0.25">
      <c r="A198" s="5"/>
      <c r="B198" s="5"/>
      <c r="C198" s="53"/>
      <c r="D198" s="71" t="s">
        <v>608</v>
      </c>
      <c r="E198" s="51">
        <v>2500000</v>
      </c>
      <c r="F198" s="42"/>
    </row>
    <row r="199" spans="1:8" x14ac:dyDescent="0.25">
      <c r="A199" s="5"/>
      <c r="B199" s="5"/>
      <c r="C199" s="53"/>
      <c r="D199" s="71" t="s">
        <v>679</v>
      </c>
      <c r="E199" s="51">
        <v>2500000</v>
      </c>
      <c r="F199" s="42"/>
    </row>
    <row r="200" spans="1:8" x14ac:dyDescent="0.25">
      <c r="A200" s="5"/>
      <c r="B200" s="5"/>
      <c r="C200" s="53"/>
      <c r="D200" s="71" t="s">
        <v>550</v>
      </c>
      <c r="E200" s="51">
        <v>3000000</v>
      </c>
      <c r="F200" s="42"/>
    </row>
    <row r="201" spans="1:8" hidden="1" x14ac:dyDescent="0.25">
      <c r="A201" s="5"/>
      <c r="B201" s="5"/>
      <c r="C201" s="53"/>
      <c r="D201" s="71"/>
      <c r="E201" s="54"/>
      <c r="F201" s="5"/>
    </row>
    <row r="202" spans="1:8" hidden="1" x14ac:dyDescent="0.25">
      <c r="A202" s="5"/>
      <c r="B202" s="5"/>
      <c r="C202" s="53"/>
      <c r="D202" s="71" t="s">
        <v>198</v>
      </c>
      <c r="E202" s="50">
        <v>0</v>
      </c>
      <c r="F202" s="5"/>
    </row>
    <row r="203" spans="1:8" x14ac:dyDescent="0.25">
      <c r="A203" s="5">
        <v>2</v>
      </c>
      <c r="B203" s="5">
        <v>1</v>
      </c>
      <c r="C203" s="53" t="s">
        <v>199</v>
      </c>
      <c r="D203" s="12" t="s">
        <v>200</v>
      </c>
      <c r="E203" s="54">
        <f>E204</f>
        <v>5000000</v>
      </c>
      <c r="F203" s="5" t="s">
        <v>0</v>
      </c>
    </row>
    <row r="204" spans="1:8" x14ac:dyDescent="0.25">
      <c r="A204" s="5"/>
      <c r="B204" s="5"/>
      <c r="C204" s="53"/>
      <c r="D204" s="71" t="s">
        <v>201</v>
      </c>
      <c r="E204" s="51">
        <v>5000000</v>
      </c>
      <c r="F204" s="195" t="s">
        <v>0</v>
      </c>
      <c r="G204" t="s">
        <v>3</v>
      </c>
      <c r="H204" s="164">
        <f>E204/500000</f>
        <v>10</v>
      </c>
    </row>
    <row r="205" spans="1:8" x14ac:dyDescent="0.25">
      <c r="A205" s="8">
        <v>2</v>
      </c>
      <c r="B205" s="8">
        <v>2</v>
      </c>
      <c r="C205" s="8"/>
      <c r="D205" s="6" t="s">
        <v>47</v>
      </c>
      <c r="E205" s="57">
        <f>E206+E210+E217+E220+E252+E254+E256</f>
        <v>186010534.97999999</v>
      </c>
      <c r="F205" s="8" t="s">
        <v>3</v>
      </c>
    </row>
    <row r="206" spans="1:8" x14ac:dyDescent="0.25">
      <c r="A206" s="5">
        <v>2</v>
      </c>
      <c r="B206" s="5">
        <v>2</v>
      </c>
      <c r="C206" s="53" t="s">
        <v>85</v>
      </c>
      <c r="D206" s="12" t="s">
        <v>202</v>
      </c>
      <c r="E206" s="54">
        <f>SUM(E207:E209)</f>
        <v>24600000</v>
      </c>
      <c r="F206" s="5" t="s">
        <v>604</v>
      </c>
    </row>
    <row r="207" spans="1:8" x14ac:dyDescent="0.25">
      <c r="A207" s="46"/>
      <c r="B207" s="46"/>
      <c r="C207" s="46"/>
      <c r="D207" s="222" t="s">
        <v>599</v>
      </c>
      <c r="E207" s="51">
        <v>3000000</v>
      </c>
      <c r="F207" s="52" t="s">
        <v>6</v>
      </c>
      <c r="G207" t="s">
        <v>3</v>
      </c>
    </row>
    <row r="208" spans="1:8" hidden="1" x14ac:dyDescent="0.25">
      <c r="A208" s="46"/>
      <c r="B208" s="46"/>
      <c r="C208" s="46"/>
      <c r="D208" s="71" t="s">
        <v>204</v>
      </c>
      <c r="E208" s="51">
        <v>0</v>
      </c>
      <c r="F208" s="42"/>
    </row>
    <row r="209" spans="1:8" x14ac:dyDescent="0.25">
      <c r="A209" s="46"/>
      <c r="B209" s="46"/>
      <c r="C209" s="46"/>
      <c r="D209" s="71" t="s">
        <v>205</v>
      </c>
      <c r="E209" s="50">
        <f>1800000*12</f>
        <v>21600000</v>
      </c>
      <c r="F209" s="42" t="s">
        <v>3</v>
      </c>
      <c r="H209" s="164">
        <f>E209/12</f>
        <v>1800000</v>
      </c>
    </row>
    <row r="210" spans="1:8" x14ac:dyDescent="0.25">
      <c r="A210" s="5">
        <v>2</v>
      </c>
      <c r="B210" s="5">
        <v>2</v>
      </c>
      <c r="C210" s="53" t="s">
        <v>89</v>
      </c>
      <c r="D210" s="12" t="s">
        <v>48</v>
      </c>
      <c r="E210" s="54">
        <f>SUM(E211:E216)</f>
        <v>129600000</v>
      </c>
      <c r="F210" s="5" t="s">
        <v>3</v>
      </c>
    </row>
    <row r="211" spans="1:8" x14ac:dyDescent="0.25">
      <c r="A211" s="46"/>
      <c r="B211" s="46"/>
      <c r="C211" s="46"/>
      <c r="D211" s="71" t="s">
        <v>206</v>
      </c>
      <c r="E211" s="50">
        <v>40000000</v>
      </c>
      <c r="F211" s="42" t="s">
        <v>3</v>
      </c>
      <c r="H211" s="164">
        <f>E211/10000</f>
        <v>4000</v>
      </c>
    </row>
    <row r="212" spans="1:8" x14ac:dyDescent="0.25">
      <c r="A212" s="46"/>
      <c r="B212" s="46"/>
      <c r="C212" s="46"/>
      <c r="D212" s="71" t="s">
        <v>402</v>
      </c>
      <c r="E212" s="50">
        <v>12000000</v>
      </c>
      <c r="F212" s="42" t="s">
        <v>3</v>
      </c>
      <c r="H212" s="164">
        <f>200000*5*12</f>
        <v>12000000</v>
      </c>
    </row>
    <row r="213" spans="1:8" hidden="1" x14ac:dyDescent="0.25">
      <c r="A213" s="97"/>
      <c r="B213" s="97"/>
      <c r="C213" s="97"/>
      <c r="D213" s="43" t="s">
        <v>207</v>
      </c>
      <c r="E213" s="37">
        <v>0</v>
      </c>
      <c r="F213" s="36" t="s">
        <v>3</v>
      </c>
    </row>
    <row r="214" spans="1:8" x14ac:dyDescent="0.25">
      <c r="A214" s="46"/>
      <c r="B214" s="46"/>
      <c r="C214" s="46"/>
      <c r="D214" s="98" t="s">
        <v>209</v>
      </c>
      <c r="E214" s="50">
        <v>2000000</v>
      </c>
      <c r="F214" s="42" t="s">
        <v>3</v>
      </c>
      <c r="H214" s="164">
        <f>E210-E211-E212</f>
        <v>77600000</v>
      </c>
    </row>
    <row r="215" spans="1:8" x14ac:dyDescent="0.25">
      <c r="A215" s="46"/>
      <c r="B215" s="46"/>
      <c r="C215" s="46"/>
      <c r="D215" s="98" t="s">
        <v>210</v>
      </c>
      <c r="E215" s="50">
        <v>9600000</v>
      </c>
      <c r="F215" s="42" t="s">
        <v>3</v>
      </c>
    </row>
    <row r="216" spans="1:8" ht="16.5" customHeight="1" x14ac:dyDescent="0.25">
      <c r="A216" s="46"/>
      <c r="B216" s="46"/>
      <c r="C216" s="46"/>
      <c r="D216" s="71" t="s">
        <v>211</v>
      </c>
      <c r="E216" s="50">
        <f>110000*50*12</f>
        <v>66000000</v>
      </c>
      <c r="F216" s="42" t="s">
        <v>3</v>
      </c>
      <c r="H216" s="164">
        <f>E216/12/50</f>
        <v>110000</v>
      </c>
    </row>
    <row r="217" spans="1:8" x14ac:dyDescent="0.25">
      <c r="A217" s="5">
        <v>2</v>
      </c>
      <c r="B217" s="5">
        <v>2</v>
      </c>
      <c r="C217" s="53" t="s">
        <v>98</v>
      </c>
      <c r="D217" s="12" t="s">
        <v>49</v>
      </c>
      <c r="E217" s="54">
        <f>SUM(E218:E219)</f>
        <v>2000000</v>
      </c>
      <c r="F217" s="5" t="s">
        <v>2</v>
      </c>
    </row>
    <row r="218" spans="1:8" x14ac:dyDescent="0.25">
      <c r="A218" s="5"/>
      <c r="B218" s="5"/>
      <c r="C218" s="53"/>
      <c r="D218" s="71" t="s">
        <v>606</v>
      </c>
      <c r="E218" s="50">
        <v>2000000</v>
      </c>
      <c r="F218" s="52" t="s">
        <v>2</v>
      </c>
      <c r="G218" t="s">
        <v>3</v>
      </c>
      <c r="H218" s="164">
        <f>E218/40</f>
        <v>50000</v>
      </c>
    </row>
    <row r="219" spans="1:8" x14ac:dyDescent="0.25">
      <c r="A219" s="5"/>
      <c r="B219" s="5"/>
      <c r="C219" s="53"/>
      <c r="D219" s="71" t="s">
        <v>213</v>
      </c>
      <c r="E219" s="51">
        <v>0</v>
      </c>
      <c r="F219" s="52" t="s">
        <v>2</v>
      </c>
      <c r="G219" t="s">
        <v>3</v>
      </c>
    </row>
    <row r="220" spans="1:8" x14ac:dyDescent="0.25">
      <c r="A220" s="5">
        <v>2</v>
      </c>
      <c r="B220" s="5">
        <v>2</v>
      </c>
      <c r="C220" s="53" t="s">
        <v>109</v>
      </c>
      <c r="D220" s="12" t="s">
        <v>50</v>
      </c>
      <c r="E220" s="54">
        <f>E221+E227+E231+E232+E233+E234+E235+E240+E243+E247+E248+E249</f>
        <v>6600000</v>
      </c>
      <c r="F220" s="5" t="s">
        <v>3</v>
      </c>
      <c r="H220" s="164">
        <f>50*12</f>
        <v>600</v>
      </c>
    </row>
    <row r="221" spans="1:8" ht="30" x14ac:dyDescent="0.25">
      <c r="A221" s="5"/>
      <c r="B221" s="3"/>
      <c r="C221" s="34"/>
      <c r="D221" s="99" t="s">
        <v>554</v>
      </c>
      <c r="E221" s="100">
        <f>SUM(E222:E226)</f>
        <v>6600000</v>
      </c>
      <c r="F221" s="76" t="s">
        <v>3</v>
      </c>
    </row>
    <row r="222" spans="1:8" x14ac:dyDescent="0.25">
      <c r="A222" s="5"/>
      <c r="B222" s="3"/>
      <c r="C222" s="34"/>
      <c r="D222" s="101" t="s">
        <v>215</v>
      </c>
      <c r="E222" s="37">
        <v>1000000</v>
      </c>
      <c r="F222" s="36" t="s">
        <v>3</v>
      </c>
    </row>
    <row r="223" spans="1:8" x14ac:dyDescent="0.25">
      <c r="A223" s="5"/>
      <c r="B223" s="3"/>
      <c r="C223" s="34"/>
      <c r="D223" s="101" t="s">
        <v>551</v>
      </c>
      <c r="E223" s="37">
        <v>1000000</v>
      </c>
      <c r="F223" s="36" t="s">
        <v>3</v>
      </c>
    </row>
    <row r="224" spans="1:8" x14ac:dyDescent="0.25">
      <c r="A224" s="5"/>
      <c r="B224" s="3"/>
      <c r="C224" s="34"/>
      <c r="D224" s="101" t="s">
        <v>552</v>
      </c>
      <c r="E224" s="37">
        <v>1600000</v>
      </c>
      <c r="F224" s="36"/>
    </row>
    <row r="225" spans="1:6" x14ac:dyDescent="0.25">
      <c r="A225" s="5"/>
      <c r="B225" s="3"/>
      <c r="C225" s="34"/>
      <c r="D225" s="101" t="s">
        <v>553</v>
      </c>
      <c r="E225" s="37">
        <v>3000000</v>
      </c>
      <c r="F225" s="36"/>
    </row>
    <row r="226" spans="1:6" x14ac:dyDescent="0.25">
      <c r="A226" s="5"/>
      <c r="B226" s="3"/>
      <c r="C226" s="34"/>
      <c r="D226" s="101" t="s">
        <v>217</v>
      </c>
      <c r="E226" s="40">
        <v>0</v>
      </c>
      <c r="F226" s="36" t="s">
        <v>3</v>
      </c>
    </row>
    <row r="227" spans="1:6" hidden="1" x14ac:dyDescent="0.25">
      <c r="A227" s="5"/>
      <c r="B227" s="3"/>
      <c r="C227" s="34"/>
      <c r="D227" s="102" t="s">
        <v>218</v>
      </c>
      <c r="E227" s="100"/>
      <c r="F227" s="76" t="s">
        <v>3</v>
      </c>
    </row>
    <row r="228" spans="1:6" hidden="1" x14ac:dyDescent="0.25">
      <c r="A228" s="5"/>
      <c r="B228" s="3"/>
      <c r="C228" s="34"/>
      <c r="D228" s="101" t="s">
        <v>219</v>
      </c>
      <c r="E228" s="37"/>
      <c r="F228" s="36" t="s">
        <v>3</v>
      </c>
    </row>
    <row r="229" spans="1:6" hidden="1" x14ac:dyDescent="0.25">
      <c r="A229" s="5"/>
      <c r="B229" s="3"/>
      <c r="C229" s="34"/>
      <c r="D229" s="101" t="s">
        <v>220</v>
      </c>
      <c r="E229" s="37"/>
      <c r="F229" s="36" t="s">
        <v>3</v>
      </c>
    </row>
    <row r="230" spans="1:6" hidden="1" x14ac:dyDescent="0.25">
      <c r="A230" s="5"/>
      <c r="B230" s="3"/>
      <c r="C230" s="34"/>
      <c r="D230" s="101" t="s">
        <v>221</v>
      </c>
      <c r="E230" s="37"/>
      <c r="F230" s="36" t="s">
        <v>3</v>
      </c>
    </row>
    <row r="231" spans="1:6" hidden="1" x14ac:dyDescent="0.25">
      <c r="A231" s="5"/>
      <c r="B231" s="3"/>
      <c r="C231" s="34"/>
      <c r="D231" s="102" t="s">
        <v>222</v>
      </c>
      <c r="E231" s="100"/>
      <c r="F231" s="76" t="s">
        <v>3</v>
      </c>
    </row>
    <row r="232" spans="1:6" hidden="1" x14ac:dyDescent="0.25">
      <c r="A232" s="5"/>
      <c r="B232" s="3"/>
      <c r="C232" s="34"/>
      <c r="D232" s="102" t="s">
        <v>223</v>
      </c>
      <c r="E232" s="100"/>
      <c r="F232" s="76" t="s">
        <v>3</v>
      </c>
    </row>
    <row r="233" spans="1:6" hidden="1" x14ac:dyDescent="0.25">
      <c r="A233" s="5"/>
      <c r="B233" s="3"/>
      <c r="C233" s="34"/>
      <c r="D233" s="102" t="s">
        <v>224</v>
      </c>
      <c r="E233" s="100"/>
      <c r="F233" s="76" t="s">
        <v>3</v>
      </c>
    </row>
    <row r="234" spans="1:6" hidden="1" x14ac:dyDescent="0.25">
      <c r="A234" s="5"/>
      <c r="B234" s="3"/>
      <c r="C234" s="34"/>
      <c r="D234" s="102" t="s">
        <v>225</v>
      </c>
      <c r="E234" s="100"/>
      <c r="F234" s="76" t="s">
        <v>3</v>
      </c>
    </row>
    <row r="235" spans="1:6" hidden="1" x14ac:dyDescent="0.25">
      <c r="A235" s="5"/>
      <c r="B235" s="3"/>
      <c r="C235" s="34"/>
      <c r="D235" s="102" t="s">
        <v>226</v>
      </c>
      <c r="E235" s="100"/>
      <c r="F235" s="76" t="s">
        <v>3</v>
      </c>
    </row>
    <row r="236" spans="1:6" hidden="1" x14ac:dyDescent="0.25">
      <c r="A236" s="5"/>
      <c r="B236" s="3"/>
      <c r="C236" s="34"/>
      <c r="D236" s="101" t="s">
        <v>227</v>
      </c>
      <c r="E236" s="37"/>
      <c r="F236" s="36" t="s">
        <v>3</v>
      </c>
    </row>
    <row r="237" spans="1:6" hidden="1" x14ac:dyDescent="0.25">
      <c r="A237" s="5"/>
      <c r="B237" s="3"/>
      <c r="C237" s="34"/>
      <c r="D237" s="101" t="s">
        <v>228</v>
      </c>
      <c r="E237" s="37"/>
      <c r="F237" s="36" t="s">
        <v>3</v>
      </c>
    </row>
    <row r="238" spans="1:6" hidden="1" x14ac:dyDescent="0.25">
      <c r="A238" s="5"/>
      <c r="B238" s="3"/>
      <c r="C238" s="34"/>
      <c r="D238" s="101" t="s">
        <v>229</v>
      </c>
      <c r="E238" s="37"/>
      <c r="F238" s="36" t="s">
        <v>3</v>
      </c>
    </row>
    <row r="239" spans="1:6" hidden="1" x14ac:dyDescent="0.25">
      <c r="A239" s="53"/>
      <c r="B239" s="3"/>
      <c r="C239" s="34"/>
      <c r="D239" s="101" t="s">
        <v>230</v>
      </c>
      <c r="E239" s="37"/>
      <c r="F239" s="36" t="s">
        <v>3</v>
      </c>
    </row>
    <row r="240" spans="1:6" ht="30" hidden="1" x14ac:dyDescent="0.25">
      <c r="A240" s="53"/>
      <c r="B240" s="3"/>
      <c r="C240" s="34"/>
      <c r="D240" s="102" t="s">
        <v>231</v>
      </c>
      <c r="E240" s="100"/>
      <c r="F240" s="76" t="s">
        <v>3</v>
      </c>
    </row>
    <row r="241" spans="1:9" hidden="1" x14ac:dyDescent="0.25">
      <c r="A241" s="53"/>
      <c r="B241" s="3"/>
      <c r="C241" s="34"/>
      <c r="D241" s="101" t="s">
        <v>232</v>
      </c>
      <c r="E241" s="37"/>
      <c r="F241" s="36" t="s">
        <v>3</v>
      </c>
    </row>
    <row r="242" spans="1:9" hidden="1" x14ac:dyDescent="0.25">
      <c r="A242" s="53"/>
      <c r="B242" s="3"/>
      <c r="C242" s="34"/>
      <c r="D242" s="101" t="s">
        <v>233</v>
      </c>
      <c r="E242" s="37"/>
      <c r="F242" s="36" t="s">
        <v>3</v>
      </c>
    </row>
    <row r="243" spans="1:9" hidden="1" x14ac:dyDescent="0.25">
      <c r="A243" s="5"/>
      <c r="B243" s="3"/>
      <c r="C243" s="34"/>
      <c r="D243" s="99" t="s">
        <v>234</v>
      </c>
      <c r="E243" s="100"/>
      <c r="F243" s="76" t="s">
        <v>3</v>
      </c>
    </row>
    <row r="244" spans="1:9" hidden="1" x14ac:dyDescent="0.25">
      <c r="A244" s="53"/>
      <c r="B244" s="3"/>
      <c r="C244" s="34"/>
      <c r="D244" s="101" t="s">
        <v>209</v>
      </c>
      <c r="E244" s="37"/>
      <c r="F244" s="36" t="s">
        <v>3</v>
      </c>
    </row>
    <row r="245" spans="1:9" hidden="1" x14ac:dyDescent="0.25">
      <c r="A245" s="53"/>
      <c r="B245" s="3"/>
      <c r="C245" s="34"/>
      <c r="D245" s="101" t="s">
        <v>235</v>
      </c>
      <c r="E245" s="37"/>
      <c r="F245" s="36" t="s">
        <v>3</v>
      </c>
    </row>
    <row r="246" spans="1:9" hidden="1" x14ac:dyDescent="0.25">
      <c r="A246" s="5"/>
      <c r="B246" s="3"/>
      <c r="C246" s="34"/>
      <c r="D246" s="101" t="s">
        <v>236</v>
      </c>
      <c r="E246" s="37"/>
      <c r="F246" s="36" t="s">
        <v>3</v>
      </c>
    </row>
    <row r="247" spans="1:9" ht="30" hidden="1" x14ac:dyDescent="0.25">
      <c r="A247" s="5"/>
      <c r="B247" s="3"/>
      <c r="C247" s="34"/>
      <c r="D247" s="102" t="s">
        <v>237</v>
      </c>
      <c r="E247" s="100"/>
      <c r="F247" s="76" t="s">
        <v>3</v>
      </c>
    </row>
    <row r="248" spans="1:9" ht="30" hidden="1" x14ac:dyDescent="0.25">
      <c r="A248" s="5"/>
      <c r="B248" s="3"/>
      <c r="C248" s="34"/>
      <c r="D248" s="102" t="s">
        <v>238</v>
      </c>
      <c r="E248" s="100"/>
      <c r="F248" s="76" t="s">
        <v>3</v>
      </c>
    </row>
    <row r="249" spans="1:9" hidden="1" x14ac:dyDescent="0.25">
      <c r="A249" s="5"/>
      <c r="B249" s="3"/>
      <c r="C249" s="34"/>
      <c r="D249" s="99" t="s">
        <v>239</v>
      </c>
      <c r="E249" s="100">
        <f>SUM(E250:E251)</f>
        <v>0</v>
      </c>
      <c r="F249" s="76" t="s">
        <v>3</v>
      </c>
    </row>
    <row r="250" spans="1:9" hidden="1" x14ac:dyDescent="0.25">
      <c r="A250" s="5"/>
      <c r="B250" s="5"/>
      <c r="C250" s="53"/>
      <c r="D250" s="71" t="s">
        <v>212</v>
      </c>
      <c r="E250" s="50">
        <v>0</v>
      </c>
      <c r="F250" s="42" t="s">
        <v>3</v>
      </c>
    </row>
    <row r="251" spans="1:9" hidden="1" x14ac:dyDescent="0.25">
      <c r="A251" s="5"/>
      <c r="B251" s="5"/>
      <c r="C251" s="53"/>
      <c r="D251" s="71" t="s">
        <v>210</v>
      </c>
      <c r="E251" s="50">
        <v>0</v>
      </c>
      <c r="F251" s="42" t="s">
        <v>3</v>
      </c>
    </row>
    <row r="252" spans="1:9" x14ac:dyDescent="0.25">
      <c r="A252" s="5">
        <v>2</v>
      </c>
      <c r="B252" s="5">
        <v>2</v>
      </c>
      <c r="C252" s="53" t="s">
        <v>125</v>
      </c>
      <c r="D252" s="12" t="s">
        <v>51</v>
      </c>
      <c r="E252" s="54">
        <f>E253</f>
        <v>19800000</v>
      </c>
      <c r="F252" s="5" t="s">
        <v>3</v>
      </c>
    </row>
    <row r="253" spans="1:9" x14ac:dyDescent="0.25">
      <c r="A253" s="46"/>
      <c r="B253" s="46"/>
      <c r="C253" s="46"/>
      <c r="D253" s="71" t="s">
        <v>240</v>
      </c>
      <c r="E253" s="50">
        <f>110000*15*12</f>
        <v>19800000</v>
      </c>
      <c r="F253" s="42" t="s">
        <v>3</v>
      </c>
      <c r="H253" s="164">
        <f>E253/15/12</f>
        <v>110000</v>
      </c>
      <c r="I253" s="164">
        <f>H253*12</f>
        <v>1320000</v>
      </c>
    </row>
    <row r="254" spans="1:9" x14ac:dyDescent="0.25">
      <c r="A254" s="5">
        <v>2</v>
      </c>
      <c r="B254" s="5">
        <v>2</v>
      </c>
      <c r="C254" s="53" t="s">
        <v>160</v>
      </c>
      <c r="D254" s="12" t="s">
        <v>241</v>
      </c>
      <c r="E254" s="54">
        <f>E255</f>
        <v>1410534.98</v>
      </c>
      <c r="F254" s="5" t="s">
        <v>9</v>
      </c>
      <c r="I254" s="164">
        <f>I253*6%</f>
        <v>79200</v>
      </c>
    </row>
    <row r="255" spans="1:9" x14ac:dyDescent="0.25">
      <c r="A255" s="5"/>
      <c r="B255" s="5"/>
      <c r="C255" s="53"/>
      <c r="D255" s="98" t="s">
        <v>208</v>
      </c>
      <c r="E255" s="323">
        <v>1410534.98</v>
      </c>
      <c r="F255" s="52" t="s">
        <v>9</v>
      </c>
      <c r="G255" t="s">
        <v>3</v>
      </c>
      <c r="H255" s="164">
        <f>15*12</f>
        <v>180</v>
      </c>
    </row>
    <row r="256" spans="1:9" s="185" customFormat="1" ht="30" x14ac:dyDescent="0.25">
      <c r="A256" s="3">
        <v>2</v>
      </c>
      <c r="B256" s="3">
        <v>2</v>
      </c>
      <c r="C256" s="34" t="s">
        <v>196</v>
      </c>
      <c r="D256" s="2" t="s">
        <v>242</v>
      </c>
      <c r="E256" s="35">
        <f>E257+E260</f>
        <v>2000000</v>
      </c>
      <c r="F256" s="3" t="s">
        <v>9</v>
      </c>
      <c r="H256" s="255"/>
      <c r="I256" s="255"/>
    </row>
    <row r="257" spans="1:9" x14ac:dyDescent="0.25">
      <c r="A257" s="3"/>
      <c r="B257" s="3"/>
      <c r="C257" s="34"/>
      <c r="D257" s="43" t="s">
        <v>243</v>
      </c>
      <c r="E257" s="40">
        <v>2000000</v>
      </c>
      <c r="F257" s="227" t="s">
        <v>9</v>
      </c>
      <c r="G257" t="s">
        <v>3</v>
      </c>
    </row>
    <row r="258" spans="1:9" hidden="1" x14ac:dyDescent="0.25">
      <c r="A258" s="3"/>
      <c r="B258" s="3"/>
      <c r="C258" s="34"/>
      <c r="D258" s="98" t="s">
        <v>412</v>
      </c>
      <c r="E258" s="50">
        <v>0</v>
      </c>
      <c r="F258" s="42"/>
    </row>
    <row r="259" spans="1:9" hidden="1" x14ac:dyDescent="0.25">
      <c r="A259" s="3"/>
      <c r="B259" s="3"/>
      <c r="C259" s="34"/>
      <c r="D259" s="98" t="s">
        <v>411</v>
      </c>
      <c r="E259" s="50">
        <v>0</v>
      </c>
      <c r="F259" s="42"/>
    </row>
    <row r="260" spans="1:9" hidden="1" x14ac:dyDescent="0.25">
      <c r="A260" s="5"/>
      <c r="B260" s="5"/>
      <c r="C260" s="53"/>
      <c r="D260" s="43" t="s">
        <v>413</v>
      </c>
      <c r="E260" s="37">
        <v>0</v>
      </c>
      <c r="F260" s="42" t="s">
        <v>3</v>
      </c>
    </row>
    <row r="261" spans="1:9" x14ac:dyDescent="0.25">
      <c r="A261" s="8">
        <v>2</v>
      </c>
      <c r="B261" s="8">
        <v>3</v>
      </c>
      <c r="C261" s="8"/>
      <c r="D261" s="6" t="s">
        <v>244</v>
      </c>
      <c r="E261" s="57">
        <f>E262+E264+E265+E267+E269+E276+E280+E283+E287+E289</f>
        <v>226030000</v>
      </c>
      <c r="F261" s="8"/>
    </row>
    <row r="262" spans="1:9" s="185" customFormat="1" hidden="1" x14ac:dyDescent="0.25">
      <c r="A262" s="89">
        <v>2</v>
      </c>
      <c r="B262" s="89">
        <v>3</v>
      </c>
      <c r="C262" s="90" t="s">
        <v>85</v>
      </c>
      <c r="D262" s="17" t="s">
        <v>245</v>
      </c>
      <c r="E262" s="91">
        <f>E263</f>
        <v>0</v>
      </c>
      <c r="F262" s="89" t="s">
        <v>3</v>
      </c>
      <c r="H262" s="255"/>
      <c r="I262" s="255"/>
    </row>
    <row r="263" spans="1:9" ht="30" hidden="1" x14ac:dyDescent="0.25">
      <c r="A263" s="89"/>
      <c r="B263" s="89"/>
      <c r="C263" s="90"/>
      <c r="D263" s="103" t="s">
        <v>246</v>
      </c>
      <c r="E263" s="104"/>
      <c r="F263" s="105" t="s">
        <v>3</v>
      </c>
    </row>
    <row r="264" spans="1:9" hidden="1" x14ac:dyDescent="0.25">
      <c r="A264" s="5">
        <v>2</v>
      </c>
      <c r="B264" s="5">
        <v>3</v>
      </c>
      <c r="C264" s="53" t="s">
        <v>89</v>
      </c>
      <c r="D264" s="12" t="s">
        <v>247</v>
      </c>
      <c r="E264" s="54"/>
      <c r="F264" s="5"/>
    </row>
    <row r="265" spans="1:9" hidden="1" x14ac:dyDescent="0.25">
      <c r="A265" s="5">
        <v>2</v>
      </c>
      <c r="B265" s="5">
        <v>3</v>
      </c>
      <c r="C265" s="53" t="s">
        <v>98</v>
      </c>
      <c r="D265" s="12" t="s">
        <v>248</v>
      </c>
      <c r="E265" s="54">
        <f>SUM(E266)</f>
        <v>0</v>
      </c>
      <c r="F265" s="5" t="s">
        <v>3</v>
      </c>
    </row>
    <row r="266" spans="1:9" ht="30" hidden="1" x14ac:dyDescent="0.25">
      <c r="A266" s="5"/>
      <c r="B266" s="5"/>
      <c r="C266" s="53"/>
      <c r="D266" s="43" t="s">
        <v>249</v>
      </c>
      <c r="E266" s="37">
        <v>0</v>
      </c>
      <c r="F266" s="5"/>
    </row>
    <row r="267" spans="1:9" hidden="1" x14ac:dyDescent="0.25">
      <c r="A267" s="5">
        <v>2</v>
      </c>
      <c r="B267" s="5">
        <v>3</v>
      </c>
      <c r="C267" s="53" t="s">
        <v>122</v>
      </c>
      <c r="D267" s="12" t="s">
        <v>250</v>
      </c>
      <c r="E267" s="196"/>
      <c r="F267" s="5"/>
    </row>
    <row r="268" spans="1:9" s="204" customFormat="1" hidden="1" x14ac:dyDescent="0.25">
      <c r="A268" s="42"/>
      <c r="B268" s="42"/>
      <c r="C268" s="55"/>
      <c r="D268" s="71" t="s">
        <v>572</v>
      </c>
      <c r="E268" s="51"/>
      <c r="F268" s="42"/>
      <c r="H268" s="337"/>
      <c r="I268" s="337"/>
    </row>
    <row r="269" spans="1:9" ht="30" x14ac:dyDescent="0.25">
      <c r="A269" s="3">
        <v>2</v>
      </c>
      <c r="B269" s="3">
        <v>3</v>
      </c>
      <c r="C269" s="34" t="s">
        <v>199</v>
      </c>
      <c r="D269" s="2" t="s">
        <v>251</v>
      </c>
      <c r="E269" s="35">
        <f>SUM(E270:E275)</f>
        <v>104030000</v>
      </c>
      <c r="F269" s="3" t="s">
        <v>3</v>
      </c>
    </row>
    <row r="270" spans="1:9" hidden="1" x14ac:dyDescent="0.25">
      <c r="A270" s="5"/>
      <c r="B270" s="5"/>
      <c r="C270" s="53"/>
      <c r="D270" s="43" t="s">
        <v>574</v>
      </c>
      <c r="E270" s="40">
        <v>0</v>
      </c>
      <c r="F270" s="5"/>
    </row>
    <row r="271" spans="1:9" hidden="1" x14ac:dyDescent="0.25">
      <c r="A271" s="5"/>
      <c r="B271" s="5"/>
      <c r="C271" s="53"/>
      <c r="D271" s="43" t="s">
        <v>567</v>
      </c>
      <c r="E271" s="40">
        <v>0</v>
      </c>
      <c r="F271" s="5"/>
    </row>
    <row r="272" spans="1:9" ht="30" x14ac:dyDescent="0.25">
      <c r="A272" s="5"/>
      <c r="B272" s="5"/>
      <c r="C272" s="53"/>
      <c r="D272" s="43" t="s">
        <v>678</v>
      </c>
      <c r="E272" s="322">
        <v>99030000</v>
      </c>
      <c r="F272" s="5"/>
      <c r="G272" t="s">
        <v>607</v>
      </c>
      <c r="H272" s="336">
        <f>E272*3%</f>
        <v>2970900</v>
      </c>
      <c r="I272" s="164">
        <f>E272*30%</f>
        <v>29709000</v>
      </c>
    </row>
    <row r="273" spans="1:9" x14ac:dyDescent="0.25">
      <c r="A273" s="5"/>
      <c r="B273" s="5"/>
      <c r="C273" s="53"/>
      <c r="D273" s="207" t="s">
        <v>607</v>
      </c>
      <c r="E273" s="40">
        <v>5000000</v>
      </c>
      <c r="F273" s="5"/>
      <c r="H273" s="336"/>
      <c r="I273" s="164">
        <f>E272-I272</f>
        <v>69321000</v>
      </c>
    </row>
    <row r="274" spans="1:9" x14ac:dyDescent="0.25">
      <c r="A274" s="5"/>
      <c r="B274" s="5"/>
      <c r="C274" s="53"/>
      <c r="D274" s="207" t="s">
        <v>580</v>
      </c>
      <c r="E274" s="326">
        <v>0</v>
      </c>
      <c r="F274" s="5"/>
    </row>
    <row r="275" spans="1:9" hidden="1" x14ac:dyDescent="0.25">
      <c r="A275" s="5"/>
      <c r="B275" s="5"/>
      <c r="C275" s="53"/>
      <c r="D275" s="43" t="s">
        <v>568</v>
      </c>
      <c r="E275" s="50"/>
      <c r="F275" s="5"/>
    </row>
    <row r="276" spans="1:9" ht="30" x14ac:dyDescent="0.25">
      <c r="A276" s="3">
        <v>2</v>
      </c>
      <c r="B276" s="3">
        <v>3</v>
      </c>
      <c r="C276" s="34" t="s">
        <v>163</v>
      </c>
      <c r="D276" s="2" t="s">
        <v>252</v>
      </c>
      <c r="E276" s="35">
        <f>SUM(E277:E279)</f>
        <v>17000000</v>
      </c>
      <c r="F276" s="3" t="s">
        <v>3</v>
      </c>
    </row>
    <row r="277" spans="1:9" s="204" customFormat="1" x14ac:dyDescent="0.25">
      <c r="A277" s="36"/>
      <c r="B277" s="36"/>
      <c r="C277" s="38"/>
      <c r="D277" s="43" t="s">
        <v>613</v>
      </c>
      <c r="E277" s="40">
        <v>17000000</v>
      </c>
      <c r="F277" s="36"/>
      <c r="H277" s="338">
        <f>E277*3%</f>
        <v>510000</v>
      </c>
      <c r="I277" s="337"/>
    </row>
    <row r="278" spans="1:9" x14ac:dyDescent="0.25">
      <c r="A278" s="3"/>
      <c r="B278" s="3"/>
      <c r="C278" s="34"/>
      <c r="D278" s="207" t="s">
        <v>607</v>
      </c>
      <c r="E278" s="35"/>
      <c r="F278" s="3"/>
      <c r="H278" s="164">
        <f>M5*20%</f>
        <v>172670800</v>
      </c>
    </row>
    <row r="279" spans="1:9" hidden="1" x14ac:dyDescent="0.25">
      <c r="A279" s="3"/>
      <c r="B279" s="3"/>
      <c r="C279" s="34"/>
      <c r="D279" s="43" t="s">
        <v>592</v>
      </c>
      <c r="E279" s="37">
        <v>0</v>
      </c>
      <c r="F279" s="5"/>
    </row>
    <row r="280" spans="1:9" ht="30" x14ac:dyDescent="0.25">
      <c r="A280" s="3">
        <v>2</v>
      </c>
      <c r="B280" s="3">
        <v>3</v>
      </c>
      <c r="C280" s="34" t="s">
        <v>254</v>
      </c>
      <c r="D280" s="2" t="s">
        <v>255</v>
      </c>
      <c r="E280" s="35">
        <f>SUM(E281:E282)</f>
        <v>105000000</v>
      </c>
      <c r="F280" s="3" t="s">
        <v>3</v>
      </c>
      <c r="H280" s="164">
        <f>E280+E309+E421+E423</f>
        <v>265147619.25</v>
      </c>
    </row>
    <row r="281" spans="1:9" x14ac:dyDescent="0.25">
      <c r="A281" s="5"/>
      <c r="B281" s="5"/>
      <c r="C281" s="53"/>
      <c r="D281" s="277" t="s">
        <v>665</v>
      </c>
      <c r="E281" s="325">
        <v>100000000</v>
      </c>
      <c r="F281" s="42"/>
      <c r="G281" s="274">
        <f>E281*3%</f>
        <v>3000000</v>
      </c>
      <c r="H281" s="164">
        <f>(E280+E309+E421+E423)/M5*100</f>
        <v>30.711344274770259</v>
      </c>
      <c r="I281" s="343">
        <f>M5*20%</f>
        <v>172670800</v>
      </c>
    </row>
    <row r="282" spans="1:9" x14ac:dyDescent="0.25">
      <c r="A282" s="5"/>
      <c r="B282" s="5"/>
      <c r="C282" s="53"/>
      <c r="D282" s="207" t="s">
        <v>607</v>
      </c>
      <c r="E282" s="40">
        <v>5000000</v>
      </c>
      <c r="F282" s="5"/>
      <c r="I282" s="164">
        <f>E281*30%</f>
        <v>30000000</v>
      </c>
    </row>
    <row r="283" spans="1:9" ht="45" hidden="1" x14ac:dyDescent="0.25">
      <c r="A283" s="3">
        <v>2</v>
      </c>
      <c r="B283" s="3">
        <v>3</v>
      </c>
      <c r="C283" s="34" t="s">
        <v>257</v>
      </c>
      <c r="D283" s="2" t="s">
        <v>258</v>
      </c>
      <c r="E283" s="35">
        <f>SUM(E284:E286)</f>
        <v>0</v>
      </c>
      <c r="F283" s="3" t="s">
        <v>6</v>
      </c>
    </row>
    <row r="284" spans="1:9" ht="30" hidden="1" x14ac:dyDescent="0.25">
      <c r="A284" s="3"/>
      <c r="B284" s="3"/>
      <c r="C284" s="34"/>
      <c r="D284" s="43" t="s">
        <v>566</v>
      </c>
      <c r="E284" s="40">
        <v>0</v>
      </c>
      <c r="F284" s="3"/>
    </row>
    <row r="285" spans="1:9" hidden="1" x14ac:dyDescent="0.25">
      <c r="A285" s="3"/>
      <c r="B285" s="3"/>
      <c r="C285" s="34"/>
      <c r="D285" s="43" t="s">
        <v>573</v>
      </c>
      <c r="E285" s="40"/>
      <c r="F285" s="3"/>
    </row>
    <row r="286" spans="1:9" hidden="1" x14ac:dyDescent="0.25">
      <c r="A286" s="5"/>
      <c r="B286" s="5"/>
      <c r="C286" s="53"/>
      <c r="D286" s="71" t="s">
        <v>571</v>
      </c>
      <c r="E286" s="51">
        <v>0</v>
      </c>
      <c r="F286" s="5"/>
    </row>
    <row r="287" spans="1:9" ht="30" hidden="1" x14ac:dyDescent="0.25">
      <c r="A287" s="3">
        <v>2</v>
      </c>
      <c r="B287" s="3">
        <v>3</v>
      </c>
      <c r="C287" s="34" t="s">
        <v>261</v>
      </c>
      <c r="D287" s="2" t="s">
        <v>262</v>
      </c>
      <c r="E287" s="35">
        <f>E288</f>
        <v>0</v>
      </c>
      <c r="F287" s="3" t="s">
        <v>3</v>
      </c>
    </row>
    <row r="288" spans="1:9" ht="30" hidden="1" x14ac:dyDescent="0.25">
      <c r="A288" s="3"/>
      <c r="B288" s="3"/>
      <c r="C288" s="34"/>
      <c r="D288" s="43" t="s">
        <v>263</v>
      </c>
      <c r="E288" s="37">
        <v>0</v>
      </c>
      <c r="F288" s="3"/>
    </row>
    <row r="289" spans="1:9" ht="30" hidden="1" x14ac:dyDescent="0.25">
      <c r="A289" s="3">
        <v>2</v>
      </c>
      <c r="B289" s="3">
        <v>3</v>
      </c>
      <c r="C289" s="34" t="s">
        <v>264</v>
      </c>
      <c r="D289" s="2" t="s">
        <v>265</v>
      </c>
      <c r="E289" s="35">
        <f>SUM(E290:E290)</f>
        <v>0</v>
      </c>
      <c r="F289" s="3" t="s">
        <v>3</v>
      </c>
    </row>
    <row r="290" spans="1:9" hidden="1" x14ac:dyDescent="0.25">
      <c r="A290" s="3"/>
      <c r="B290" s="3"/>
      <c r="C290" s="34"/>
      <c r="D290" s="43" t="s">
        <v>266</v>
      </c>
      <c r="E290" s="40">
        <v>0</v>
      </c>
      <c r="F290" s="3"/>
    </row>
    <row r="291" spans="1:9" x14ac:dyDescent="0.25">
      <c r="A291" s="8">
        <v>2</v>
      </c>
      <c r="B291" s="8">
        <v>4</v>
      </c>
      <c r="C291" s="8"/>
      <c r="D291" s="6" t="s">
        <v>267</v>
      </c>
      <c r="E291" s="57">
        <f>E292+E294+E296+E303+E305+E308+E311+E313+E318</f>
        <v>264000000</v>
      </c>
      <c r="F291" s="8"/>
      <c r="I291" s="164">
        <f>E281-I282</f>
        <v>70000000</v>
      </c>
    </row>
    <row r="292" spans="1:9" ht="30" hidden="1" x14ac:dyDescent="0.25">
      <c r="A292" s="3">
        <v>2</v>
      </c>
      <c r="B292" s="3">
        <v>4</v>
      </c>
      <c r="C292" s="34" t="s">
        <v>85</v>
      </c>
      <c r="D292" s="2" t="s">
        <v>268</v>
      </c>
      <c r="E292" s="221">
        <f>SUM(E293:E293)</f>
        <v>0</v>
      </c>
      <c r="F292" s="3" t="s">
        <v>3</v>
      </c>
    </row>
    <row r="293" spans="1:9" ht="30" hidden="1" x14ac:dyDescent="0.25">
      <c r="A293" s="5"/>
      <c r="B293" s="3"/>
      <c r="C293" s="34"/>
      <c r="D293" s="43" t="s">
        <v>269</v>
      </c>
      <c r="E293" s="37">
        <v>0</v>
      </c>
      <c r="F293" s="3" t="s">
        <v>3</v>
      </c>
    </row>
    <row r="294" spans="1:9" hidden="1" x14ac:dyDescent="0.25">
      <c r="A294" s="3">
        <v>2</v>
      </c>
      <c r="B294" s="3">
        <v>4</v>
      </c>
      <c r="C294" s="34" t="s">
        <v>98</v>
      </c>
      <c r="D294" s="2" t="s">
        <v>270</v>
      </c>
      <c r="E294" s="35">
        <f>SUM(E295:E295)</f>
        <v>0</v>
      </c>
      <c r="F294" s="3" t="s">
        <v>3</v>
      </c>
    </row>
    <row r="295" spans="1:9" hidden="1" x14ac:dyDescent="0.25">
      <c r="A295" s="5"/>
      <c r="B295" s="3"/>
      <c r="C295" s="34"/>
      <c r="D295" s="43" t="s">
        <v>271</v>
      </c>
      <c r="E295" s="37">
        <v>0</v>
      </c>
      <c r="F295" s="3"/>
    </row>
    <row r="296" spans="1:9" s="185" customFormat="1" x14ac:dyDescent="0.25">
      <c r="A296" s="3">
        <v>2</v>
      </c>
      <c r="B296" s="3">
        <v>4</v>
      </c>
      <c r="C296" s="34" t="s">
        <v>159</v>
      </c>
      <c r="D296" s="2" t="s">
        <v>272</v>
      </c>
      <c r="E296" s="35">
        <f>SUM(E297:E302)</f>
        <v>104000000</v>
      </c>
      <c r="F296" s="3" t="s">
        <v>3</v>
      </c>
      <c r="H296" s="255"/>
      <c r="I296" s="255"/>
    </row>
    <row r="297" spans="1:9" x14ac:dyDescent="0.25">
      <c r="A297" s="5"/>
      <c r="B297" s="5"/>
      <c r="C297" s="53"/>
      <c r="D297" s="71" t="s">
        <v>556</v>
      </c>
      <c r="E297" s="50">
        <f>2000000*12</f>
        <v>24000000</v>
      </c>
      <c r="F297" s="3"/>
    </row>
    <row r="298" spans="1:9" x14ac:dyDescent="0.25">
      <c r="A298" s="5"/>
      <c r="B298" s="5"/>
      <c r="C298" s="53"/>
      <c r="D298" s="71" t="s">
        <v>555</v>
      </c>
      <c r="E298" s="50">
        <f>2000000*12</f>
        <v>24000000</v>
      </c>
      <c r="F298" s="46"/>
      <c r="H298" s="164">
        <v>1500000</v>
      </c>
    </row>
    <row r="299" spans="1:9" x14ac:dyDescent="0.25">
      <c r="A299" s="5"/>
      <c r="B299" s="5"/>
      <c r="C299" s="53"/>
      <c r="D299" s="277" t="s">
        <v>616</v>
      </c>
      <c r="E299" s="50">
        <f>1500000*2*6</f>
        <v>18000000</v>
      </c>
      <c r="F299" s="46" t="s">
        <v>666</v>
      </c>
      <c r="H299" s="164">
        <v>1300000</v>
      </c>
    </row>
    <row r="300" spans="1:9" x14ac:dyDescent="0.25">
      <c r="A300" s="5"/>
      <c r="B300" s="5"/>
      <c r="C300" s="53"/>
      <c r="D300" s="71" t="s">
        <v>276</v>
      </c>
      <c r="E300" s="50">
        <f>1500000*12</f>
        <v>18000000</v>
      </c>
      <c r="F300" s="46"/>
      <c r="H300" s="164">
        <v>1100000</v>
      </c>
    </row>
    <row r="301" spans="1:9" hidden="1" x14ac:dyDescent="0.25">
      <c r="A301" s="5"/>
      <c r="B301" s="5"/>
      <c r="C301" s="53"/>
      <c r="D301" s="71"/>
      <c r="E301" s="50">
        <v>0</v>
      </c>
      <c r="F301" s="46"/>
      <c r="H301" s="164">
        <v>1100000</v>
      </c>
    </row>
    <row r="302" spans="1:9" x14ac:dyDescent="0.25">
      <c r="A302" s="3"/>
      <c r="B302" s="3"/>
      <c r="C302" s="34"/>
      <c r="D302" s="43" t="s">
        <v>416</v>
      </c>
      <c r="E302" s="37">
        <v>20000000</v>
      </c>
      <c r="F302" s="97"/>
      <c r="H302" s="164">
        <v>1000000</v>
      </c>
    </row>
    <row r="303" spans="1:9" hidden="1" x14ac:dyDescent="0.25">
      <c r="A303" s="5">
        <v>2</v>
      </c>
      <c r="B303" s="5">
        <v>4</v>
      </c>
      <c r="C303" s="53" t="s">
        <v>160</v>
      </c>
      <c r="D303" s="12" t="s">
        <v>280</v>
      </c>
      <c r="E303" s="54">
        <f>SUM(E304:E304)</f>
        <v>0</v>
      </c>
      <c r="F303" s="5" t="s">
        <v>3</v>
      </c>
      <c r="H303" s="164">
        <f>SUM(H298:H302)</f>
        <v>6000000</v>
      </c>
    </row>
    <row r="304" spans="1:9" hidden="1" x14ac:dyDescent="0.25">
      <c r="A304" s="5"/>
      <c r="B304" s="5"/>
      <c r="C304" s="53"/>
      <c r="D304" s="71" t="s">
        <v>281</v>
      </c>
      <c r="E304" s="50">
        <v>0</v>
      </c>
      <c r="F304" s="5"/>
      <c r="H304" s="164">
        <f>H303*12</f>
        <v>72000000</v>
      </c>
    </row>
    <row r="305" spans="1:9" ht="30" hidden="1" x14ac:dyDescent="0.25">
      <c r="A305" s="3">
        <v>2</v>
      </c>
      <c r="B305" s="3">
        <v>4</v>
      </c>
      <c r="C305" s="34">
        <v>11</v>
      </c>
      <c r="D305" s="2" t="s">
        <v>282</v>
      </c>
      <c r="E305" s="35">
        <f>SUM(E306:E307)</f>
        <v>0</v>
      </c>
      <c r="F305" s="3" t="s">
        <v>3</v>
      </c>
    </row>
    <row r="306" spans="1:9" hidden="1" x14ac:dyDescent="0.25">
      <c r="A306" s="3"/>
      <c r="B306" s="3"/>
      <c r="C306" s="34"/>
      <c r="D306" s="71" t="s">
        <v>564</v>
      </c>
      <c r="E306" s="51">
        <v>0</v>
      </c>
      <c r="F306" s="42" t="s">
        <v>3</v>
      </c>
      <c r="G306">
        <v>187000000</v>
      </c>
    </row>
    <row r="307" spans="1:9" hidden="1" x14ac:dyDescent="0.25">
      <c r="A307" s="3"/>
      <c r="B307" s="3"/>
      <c r="C307" s="34"/>
      <c r="D307" s="71" t="s">
        <v>283</v>
      </c>
      <c r="E307" s="50">
        <v>0</v>
      </c>
      <c r="F307" s="42" t="s">
        <v>4</v>
      </c>
    </row>
    <row r="308" spans="1:9" ht="30" x14ac:dyDescent="0.25">
      <c r="A308" s="3">
        <v>2</v>
      </c>
      <c r="B308" s="3">
        <v>4</v>
      </c>
      <c r="C308" s="106">
        <v>12</v>
      </c>
      <c r="D308" s="107" t="s">
        <v>284</v>
      </c>
      <c r="E308" s="35">
        <f>E309</f>
        <v>100000000</v>
      </c>
      <c r="F308" s="3" t="s">
        <v>3</v>
      </c>
    </row>
    <row r="309" spans="1:9" x14ac:dyDescent="0.25">
      <c r="A309" s="5"/>
      <c r="B309" s="5"/>
      <c r="C309" s="108"/>
      <c r="D309" s="43" t="s">
        <v>670</v>
      </c>
      <c r="E309" s="322">
        <v>100000000</v>
      </c>
      <c r="F309" s="92"/>
      <c r="G309" s="173">
        <f>E309/1300</f>
        <v>76923.076923076922</v>
      </c>
    </row>
    <row r="310" spans="1:9" hidden="1" x14ac:dyDescent="0.25">
      <c r="A310" s="3">
        <v>2</v>
      </c>
      <c r="B310" s="3">
        <v>4</v>
      </c>
      <c r="C310" s="34" t="s">
        <v>286</v>
      </c>
      <c r="D310" s="2" t="s">
        <v>287</v>
      </c>
      <c r="E310" s="109"/>
      <c r="F310" s="97"/>
    </row>
    <row r="311" spans="1:9" ht="30" hidden="1" x14ac:dyDescent="0.25">
      <c r="A311" s="3">
        <v>2</v>
      </c>
      <c r="B311" s="3">
        <v>4</v>
      </c>
      <c r="C311" s="34" t="s">
        <v>257</v>
      </c>
      <c r="D311" s="2" t="s">
        <v>288</v>
      </c>
      <c r="E311" s="35">
        <f>E312</f>
        <v>0</v>
      </c>
      <c r="F311" s="3" t="s">
        <v>3</v>
      </c>
    </row>
    <row r="312" spans="1:9" hidden="1" x14ac:dyDescent="0.25">
      <c r="A312" s="5"/>
      <c r="B312" s="5"/>
      <c r="C312" s="53"/>
      <c r="D312" s="43" t="s">
        <v>289</v>
      </c>
      <c r="E312" s="37">
        <v>0</v>
      </c>
      <c r="F312" s="92"/>
    </row>
    <row r="313" spans="1:9" s="185" customFormat="1" ht="30" x14ac:dyDescent="0.25">
      <c r="A313" s="3">
        <v>2</v>
      </c>
      <c r="B313" s="3">
        <v>4</v>
      </c>
      <c r="C313" s="34" t="s">
        <v>261</v>
      </c>
      <c r="D313" s="2" t="s">
        <v>290</v>
      </c>
      <c r="E313" s="35">
        <f>SUM(E314:E316)</f>
        <v>55000000</v>
      </c>
      <c r="F313" s="3" t="s">
        <v>3</v>
      </c>
      <c r="H313" s="255"/>
      <c r="I313" s="255"/>
    </row>
    <row r="314" spans="1:9" x14ac:dyDescent="0.25">
      <c r="A314" s="3"/>
      <c r="B314" s="3"/>
      <c r="C314" s="34"/>
      <c r="D314" s="43" t="s">
        <v>587</v>
      </c>
      <c r="E314" s="322">
        <v>50000000</v>
      </c>
      <c r="F314" s="36" t="s">
        <v>3</v>
      </c>
      <c r="G314" s="173">
        <f>E314*11%</f>
        <v>5500000</v>
      </c>
      <c r="H314" s="164">
        <f>119000000+G314</f>
        <v>124500000</v>
      </c>
      <c r="I314" s="336">
        <f>E314*3%</f>
        <v>1500000</v>
      </c>
    </row>
    <row r="315" spans="1:9" hidden="1" x14ac:dyDescent="0.25">
      <c r="A315" s="5"/>
      <c r="B315" s="5"/>
      <c r="C315" s="53"/>
      <c r="D315" s="222" t="s">
        <v>590</v>
      </c>
      <c r="E315" s="50">
        <v>0</v>
      </c>
      <c r="F315" s="42"/>
    </row>
    <row r="316" spans="1:9" x14ac:dyDescent="0.25">
      <c r="A316" s="5"/>
      <c r="B316" s="5"/>
      <c r="C316" s="53"/>
      <c r="D316" s="222" t="s">
        <v>607</v>
      </c>
      <c r="E316" s="51">
        <v>5000000</v>
      </c>
      <c r="F316" s="42" t="s">
        <v>3</v>
      </c>
    </row>
    <row r="317" spans="1:9" hidden="1" x14ac:dyDescent="0.25">
      <c r="A317" s="5"/>
      <c r="B317" s="5"/>
      <c r="C317" s="53"/>
      <c r="D317" s="71"/>
      <c r="E317" s="64"/>
      <c r="F317" s="5"/>
    </row>
    <row r="318" spans="1:9" ht="30" x14ac:dyDescent="0.25">
      <c r="A318" s="3">
        <v>2</v>
      </c>
      <c r="B318" s="3">
        <v>4</v>
      </c>
      <c r="C318" s="34" t="s">
        <v>264</v>
      </c>
      <c r="D318" s="110" t="s">
        <v>292</v>
      </c>
      <c r="E318" s="45">
        <f>E319</f>
        <v>5000000</v>
      </c>
      <c r="F318" s="4" t="s">
        <v>2</v>
      </c>
    </row>
    <row r="319" spans="1:9" s="263" customFormat="1" x14ac:dyDescent="0.25">
      <c r="A319" s="48"/>
      <c r="B319" s="48"/>
      <c r="C319" s="62"/>
      <c r="D319" s="120" t="s">
        <v>589</v>
      </c>
      <c r="E319" s="205">
        <v>5000000</v>
      </c>
      <c r="F319" s="273" t="s">
        <v>2</v>
      </c>
      <c r="G319" s="263" t="s">
        <v>3</v>
      </c>
      <c r="H319" s="339"/>
      <c r="I319" s="339"/>
    </row>
    <row r="320" spans="1:9" hidden="1" x14ac:dyDescent="0.25">
      <c r="A320" s="5"/>
      <c r="B320" s="5"/>
      <c r="C320" s="53"/>
      <c r="D320" s="111"/>
      <c r="E320" s="112"/>
      <c r="F320" s="113"/>
    </row>
    <row r="321" spans="1:9" hidden="1" x14ac:dyDescent="0.25">
      <c r="A321" s="5"/>
      <c r="B321" s="5"/>
      <c r="C321" s="53"/>
      <c r="D321" s="111"/>
      <c r="E321" s="112"/>
      <c r="F321" s="113"/>
    </row>
    <row r="322" spans="1:9" x14ac:dyDescent="0.25">
      <c r="A322" s="10">
        <v>2</v>
      </c>
      <c r="B322" s="10">
        <v>5</v>
      </c>
      <c r="C322" s="10"/>
      <c r="D322" s="114" t="s">
        <v>294</v>
      </c>
      <c r="E322" s="115">
        <f>E323+E326</f>
        <v>2400000</v>
      </c>
      <c r="F322" s="10"/>
    </row>
    <row r="323" spans="1:9" s="185" customFormat="1" x14ac:dyDescent="0.25">
      <c r="A323" s="92">
        <v>2</v>
      </c>
      <c r="B323" s="5">
        <v>5</v>
      </c>
      <c r="C323" s="53" t="s">
        <v>89</v>
      </c>
      <c r="D323" s="5" t="s">
        <v>295</v>
      </c>
      <c r="E323" s="54">
        <f>SUM(E324:E325)</f>
        <v>2400000</v>
      </c>
      <c r="F323" s="5" t="s">
        <v>9</v>
      </c>
      <c r="H323" s="255"/>
      <c r="I323" s="255"/>
    </row>
    <row r="324" spans="1:9" x14ac:dyDescent="0.25">
      <c r="A324" s="92"/>
      <c r="B324" s="92"/>
      <c r="C324" s="116"/>
      <c r="D324" s="42" t="s">
        <v>296</v>
      </c>
      <c r="E324" s="50">
        <v>1000000</v>
      </c>
      <c r="F324" s="52" t="s">
        <v>9</v>
      </c>
      <c r="G324" t="s">
        <v>3</v>
      </c>
    </row>
    <row r="325" spans="1:9" x14ac:dyDescent="0.25">
      <c r="A325" s="92"/>
      <c r="B325" s="92"/>
      <c r="C325" s="116"/>
      <c r="D325" s="42" t="s">
        <v>297</v>
      </c>
      <c r="E325" s="50">
        <v>1400000</v>
      </c>
      <c r="F325" s="52" t="s">
        <v>9</v>
      </c>
      <c r="G325" t="s">
        <v>3</v>
      </c>
    </row>
    <row r="326" spans="1:9" s="185" customFormat="1" ht="30" hidden="1" x14ac:dyDescent="0.25">
      <c r="A326" s="5">
        <v>2</v>
      </c>
      <c r="B326" s="5">
        <v>5</v>
      </c>
      <c r="C326" s="53" t="s">
        <v>98</v>
      </c>
      <c r="D326" s="187" t="s">
        <v>298</v>
      </c>
      <c r="E326" s="35">
        <f>E327</f>
        <v>0</v>
      </c>
      <c r="F326" s="3" t="s">
        <v>3</v>
      </c>
      <c r="H326" s="255"/>
      <c r="I326" s="255"/>
    </row>
    <row r="327" spans="1:9" hidden="1" x14ac:dyDescent="0.25">
      <c r="A327" s="92"/>
      <c r="B327" s="92"/>
      <c r="C327" s="92"/>
      <c r="D327" s="71" t="s">
        <v>299</v>
      </c>
      <c r="E327" s="37"/>
      <c r="F327" s="36" t="s">
        <v>3</v>
      </c>
    </row>
    <row r="328" spans="1:9" hidden="1" x14ac:dyDescent="0.25">
      <c r="A328" s="92"/>
      <c r="B328" s="92"/>
      <c r="C328" s="92"/>
      <c r="D328" s="71"/>
      <c r="E328" s="50"/>
      <c r="F328" s="42"/>
    </row>
    <row r="329" spans="1:9" x14ac:dyDescent="0.25">
      <c r="A329" s="117">
        <v>2</v>
      </c>
      <c r="B329" s="117">
        <v>6</v>
      </c>
      <c r="C329" s="117"/>
      <c r="D329" s="13" t="s">
        <v>52</v>
      </c>
      <c r="E329" s="118">
        <f>E330+E334+E340</f>
        <v>45400000</v>
      </c>
      <c r="F329" s="69"/>
    </row>
    <row r="330" spans="1:9" hidden="1" x14ac:dyDescent="0.25">
      <c r="A330" s="5">
        <v>2</v>
      </c>
      <c r="B330" s="5">
        <v>6</v>
      </c>
      <c r="C330" s="53" t="s">
        <v>85</v>
      </c>
      <c r="D330" s="12" t="s">
        <v>300</v>
      </c>
      <c r="E330" s="54">
        <f>SUM(E331:E333)</f>
        <v>0</v>
      </c>
      <c r="F330" s="5" t="s">
        <v>3</v>
      </c>
    </row>
    <row r="331" spans="1:9" hidden="1" x14ac:dyDescent="0.25">
      <c r="A331" s="5"/>
      <c r="B331" s="5"/>
      <c r="C331" s="53"/>
      <c r="D331" s="71" t="s">
        <v>301</v>
      </c>
      <c r="E331" s="75"/>
      <c r="F331" s="46"/>
    </row>
    <row r="332" spans="1:9" hidden="1" x14ac:dyDescent="0.25">
      <c r="A332" s="5"/>
      <c r="B332" s="5"/>
      <c r="C332" s="53"/>
      <c r="D332" s="71" t="s">
        <v>302</v>
      </c>
      <c r="E332" s="75"/>
      <c r="F332" s="46"/>
    </row>
    <row r="333" spans="1:9" hidden="1" x14ac:dyDescent="0.25">
      <c r="A333" s="5"/>
      <c r="B333" s="5"/>
      <c r="C333" s="53"/>
      <c r="D333" s="71" t="s">
        <v>303</v>
      </c>
      <c r="E333" s="75"/>
      <c r="F333" s="46"/>
    </row>
    <row r="334" spans="1:9" ht="33.75" customHeight="1" x14ac:dyDescent="0.25">
      <c r="A334" s="3">
        <v>2</v>
      </c>
      <c r="B334" s="3">
        <v>6</v>
      </c>
      <c r="C334" s="34" t="s">
        <v>89</v>
      </c>
      <c r="D334" s="2" t="s">
        <v>53</v>
      </c>
      <c r="E334" s="35">
        <f>SUM(E335:E339)</f>
        <v>45400000</v>
      </c>
      <c r="F334" s="2" t="s">
        <v>304</v>
      </c>
    </row>
    <row r="335" spans="1:9" hidden="1" x14ac:dyDescent="0.25">
      <c r="A335" s="3"/>
      <c r="B335" s="3"/>
      <c r="C335" s="34"/>
      <c r="D335" s="42" t="s">
        <v>161</v>
      </c>
      <c r="E335" s="50">
        <v>0</v>
      </c>
      <c r="F335" s="2"/>
    </row>
    <row r="336" spans="1:9" x14ac:dyDescent="0.25">
      <c r="A336" s="3"/>
      <c r="B336" s="3"/>
      <c r="C336" s="34"/>
      <c r="D336" s="48" t="s">
        <v>162</v>
      </c>
      <c r="E336" s="49">
        <v>24000000</v>
      </c>
      <c r="F336" s="43" t="s">
        <v>3</v>
      </c>
      <c r="G336" s="173">
        <f>E336/12</f>
        <v>2000000</v>
      </c>
    </row>
    <row r="337" spans="1:9" x14ac:dyDescent="0.25">
      <c r="A337" s="3"/>
      <c r="B337" s="3"/>
      <c r="C337" s="34"/>
      <c r="D337" s="48" t="s">
        <v>586</v>
      </c>
      <c r="E337" s="49">
        <f>1700000*12</f>
        <v>20400000</v>
      </c>
      <c r="F337" s="43" t="s">
        <v>3</v>
      </c>
      <c r="G337" s="173">
        <f>E337/12</f>
        <v>1700000</v>
      </c>
    </row>
    <row r="338" spans="1:9" x14ac:dyDescent="0.25">
      <c r="A338" s="3"/>
      <c r="B338" s="3"/>
      <c r="C338" s="34"/>
      <c r="D338" s="43" t="s">
        <v>305</v>
      </c>
      <c r="E338" s="37">
        <v>1000000</v>
      </c>
      <c r="F338" s="43" t="s">
        <v>6</v>
      </c>
      <c r="G338" t="s">
        <v>0</v>
      </c>
    </row>
    <row r="339" spans="1:9" hidden="1" x14ac:dyDescent="0.25">
      <c r="A339" s="3"/>
      <c r="B339" s="3"/>
      <c r="C339" s="34"/>
      <c r="D339" s="103" t="s">
        <v>306</v>
      </c>
      <c r="E339" s="104">
        <v>0</v>
      </c>
      <c r="F339" s="119"/>
    </row>
    <row r="340" spans="1:9" ht="30" hidden="1" x14ac:dyDescent="0.25">
      <c r="A340" s="93">
        <v>2</v>
      </c>
      <c r="B340" s="93">
        <v>6</v>
      </c>
      <c r="C340" s="94" t="s">
        <v>98</v>
      </c>
      <c r="D340" s="95" t="s">
        <v>307</v>
      </c>
      <c r="E340" s="96">
        <f>SUM(E341:E342)</f>
        <v>0</v>
      </c>
      <c r="F340" s="95" t="s">
        <v>3</v>
      </c>
    </row>
    <row r="341" spans="1:9" hidden="1" x14ac:dyDescent="0.25">
      <c r="A341" s="3"/>
      <c r="B341" s="3"/>
      <c r="C341" s="34"/>
      <c r="D341" s="103" t="s">
        <v>308</v>
      </c>
      <c r="E341" s="104">
        <v>0</v>
      </c>
      <c r="F341" s="2"/>
    </row>
    <row r="342" spans="1:9" hidden="1" x14ac:dyDescent="0.25">
      <c r="A342" s="3"/>
      <c r="B342" s="3"/>
      <c r="C342" s="34"/>
      <c r="D342" s="103" t="s">
        <v>309</v>
      </c>
      <c r="E342" s="104"/>
      <c r="F342" s="119"/>
    </row>
    <row r="343" spans="1:9" x14ac:dyDescent="0.25">
      <c r="A343" s="10">
        <v>2</v>
      </c>
      <c r="B343" s="10">
        <v>7</v>
      </c>
      <c r="C343" s="10"/>
      <c r="D343" s="114" t="s">
        <v>310</v>
      </c>
      <c r="E343" s="115">
        <f>E344+E345</f>
        <v>9000000</v>
      </c>
      <c r="F343" s="10"/>
    </row>
    <row r="344" spans="1:9" s="70" customFormat="1" ht="30" hidden="1" x14ac:dyDescent="0.25">
      <c r="A344" s="3">
        <v>2</v>
      </c>
      <c r="B344" s="3">
        <v>7</v>
      </c>
      <c r="C344" s="34" t="s">
        <v>85</v>
      </c>
      <c r="D344" s="260" t="s">
        <v>575</v>
      </c>
      <c r="E344" s="35"/>
      <c r="F344" s="3"/>
      <c r="H344" s="340"/>
      <c r="I344" s="340"/>
    </row>
    <row r="345" spans="1:9" s="70" customFormat="1" ht="30" x14ac:dyDescent="0.25">
      <c r="A345" s="3">
        <v>2</v>
      </c>
      <c r="B345" s="3">
        <v>7</v>
      </c>
      <c r="C345" s="34" t="s">
        <v>89</v>
      </c>
      <c r="D345" s="260" t="s">
        <v>576</v>
      </c>
      <c r="E345" s="35">
        <f>SUM(E346:E347)</f>
        <v>9000000</v>
      </c>
      <c r="F345" s="3" t="s">
        <v>6</v>
      </c>
      <c r="H345" s="340"/>
      <c r="I345" s="340"/>
    </row>
    <row r="346" spans="1:9" s="262" customFormat="1" x14ac:dyDescent="0.25">
      <c r="A346" s="36"/>
      <c r="B346" s="36"/>
      <c r="C346" s="38"/>
      <c r="D346" s="261" t="s">
        <v>581</v>
      </c>
      <c r="E346" s="37">
        <v>5000000</v>
      </c>
      <c r="F346" s="227" t="s">
        <v>6</v>
      </c>
      <c r="G346" s="262" t="s">
        <v>3</v>
      </c>
      <c r="H346" s="341"/>
      <c r="I346" s="341"/>
    </row>
    <row r="347" spans="1:9" s="237" customFormat="1" x14ac:dyDescent="0.25">
      <c r="A347" s="42"/>
      <c r="B347" s="42"/>
      <c r="C347" s="42"/>
      <c r="D347" s="71" t="s">
        <v>588</v>
      </c>
      <c r="E347" s="50">
        <v>4000000</v>
      </c>
      <c r="F347" s="52" t="s">
        <v>6</v>
      </c>
      <c r="G347" s="237" t="s">
        <v>3</v>
      </c>
      <c r="H347" s="342"/>
      <c r="I347" s="342"/>
    </row>
    <row r="348" spans="1:9" x14ac:dyDescent="0.25">
      <c r="A348" s="10">
        <v>2</v>
      </c>
      <c r="B348" s="10">
        <v>8</v>
      </c>
      <c r="C348" s="8"/>
      <c r="D348" s="114" t="s">
        <v>311</v>
      </c>
      <c r="E348" s="57">
        <f>E352</f>
        <v>9000000</v>
      </c>
      <c r="F348" s="8"/>
    </row>
    <row r="349" spans="1:9" hidden="1" x14ac:dyDescent="0.25">
      <c r="A349" s="3">
        <v>2</v>
      </c>
      <c r="B349" s="3">
        <v>8</v>
      </c>
      <c r="C349" s="34" t="s">
        <v>85</v>
      </c>
      <c r="D349" s="2" t="s">
        <v>312</v>
      </c>
      <c r="E349" s="35"/>
      <c r="F349" s="3"/>
    </row>
    <row r="350" spans="1:9" s="188" customFormat="1" ht="30" hidden="1" x14ac:dyDescent="0.25">
      <c r="A350" s="3">
        <v>2</v>
      </c>
      <c r="B350" s="3">
        <v>8</v>
      </c>
      <c r="C350" s="34" t="s">
        <v>89</v>
      </c>
      <c r="D350" s="2" t="s">
        <v>313</v>
      </c>
      <c r="E350" s="35"/>
      <c r="F350" s="3"/>
      <c r="H350" s="224"/>
      <c r="I350" s="224"/>
    </row>
    <row r="351" spans="1:9" hidden="1" x14ac:dyDescent="0.25">
      <c r="A351" s="5"/>
      <c r="B351" s="5"/>
      <c r="C351" s="53"/>
      <c r="D351" s="12"/>
      <c r="E351" s="54"/>
      <c r="F351" s="5"/>
    </row>
    <row r="352" spans="1:9" s="185" customFormat="1" x14ac:dyDescent="0.25">
      <c r="A352" s="5">
        <v>2</v>
      </c>
      <c r="B352" s="5">
        <v>8</v>
      </c>
      <c r="C352" s="53" t="s">
        <v>98</v>
      </c>
      <c r="D352" s="17" t="s">
        <v>314</v>
      </c>
      <c r="E352" s="54">
        <f>SUM(E353:E355)</f>
        <v>9000000</v>
      </c>
      <c r="F352" s="5" t="s">
        <v>3</v>
      </c>
      <c r="H352" s="255"/>
      <c r="I352" s="255"/>
    </row>
    <row r="353" spans="1:9" x14ac:dyDescent="0.25">
      <c r="A353" s="5"/>
      <c r="B353" s="5"/>
      <c r="C353" s="53"/>
      <c r="D353" s="120" t="s">
        <v>584</v>
      </c>
      <c r="E353" s="49">
        <v>9000000</v>
      </c>
      <c r="F353" s="92" t="s">
        <v>3</v>
      </c>
    </row>
    <row r="354" spans="1:9" hidden="1" x14ac:dyDescent="0.25">
      <c r="A354" s="5"/>
      <c r="B354" s="5"/>
      <c r="C354" s="53"/>
      <c r="D354" s="120"/>
      <c r="E354" s="49"/>
      <c r="F354" s="92" t="s">
        <v>3</v>
      </c>
    </row>
    <row r="355" spans="1:9" hidden="1" x14ac:dyDescent="0.25">
      <c r="A355" s="5"/>
      <c r="B355" s="5"/>
      <c r="C355" s="53"/>
      <c r="D355" s="120"/>
      <c r="E355" s="49">
        <v>0</v>
      </c>
      <c r="F355" s="92" t="s">
        <v>316</v>
      </c>
    </row>
    <row r="356" spans="1:9" x14ac:dyDescent="0.25">
      <c r="A356" s="11">
        <v>3</v>
      </c>
      <c r="B356" s="11"/>
      <c r="C356" s="11"/>
      <c r="D356" s="14" t="s">
        <v>54</v>
      </c>
      <c r="E356" s="88">
        <f>E357+E376+E393+E405</f>
        <v>97000000</v>
      </c>
      <c r="F356" s="11"/>
    </row>
    <row r="357" spans="1:9" ht="30" x14ac:dyDescent="0.25">
      <c r="A357" s="119">
        <v>3</v>
      </c>
      <c r="B357" s="121">
        <v>1</v>
      </c>
      <c r="C357" s="121"/>
      <c r="D357" s="15" t="s">
        <v>55</v>
      </c>
      <c r="E357" s="122">
        <f>E358+E367+E372</f>
        <v>57000000</v>
      </c>
      <c r="F357" s="121"/>
    </row>
    <row r="358" spans="1:9" ht="15.75" customHeight="1" x14ac:dyDescent="0.25">
      <c r="A358" s="5">
        <v>3</v>
      </c>
      <c r="B358" s="5">
        <v>1</v>
      </c>
      <c r="C358" s="53" t="s">
        <v>85</v>
      </c>
      <c r="D358" s="12" t="s">
        <v>60</v>
      </c>
      <c r="E358" s="54">
        <f>E359+E362</f>
        <v>57000000</v>
      </c>
      <c r="F358" s="5" t="s">
        <v>1</v>
      </c>
    </row>
    <row r="359" spans="1:9" ht="18" hidden="1" customHeight="1" x14ac:dyDescent="0.25">
      <c r="A359" s="5"/>
      <c r="B359" s="5"/>
      <c r="C359" s="53"/>
      <c r="D359" s="72" t="s">
        <v>317</v>
      </c>
      <c r="E359" s="64">
        <f>SUM(E360:E361)</f>
        <v>0</v>
      </c>
      <c r="F359" s="63" t="s">
        <v>3</v>
      </c>
    </row>
    <row r="360" spans="1:9" hidden="1" x14ac:dyDescent="0.25">
      <c r="A360" s="5"/>
      <c r="B360" s="5"/>
      <c r="C360" s="53"/>
      <c r="D360" s="71" t="s">
        <v>318</v>
      </c>
      <c r="E360" s="51">
        <v>0</v>
      </c>
      <c r="F360" s="42" t="s">
        <v>3</v>
      </c>
    </row>
    <row r="361" spans="1:9" hidden="1" x14ac:dyDescent="0.25">
      <c r="A361" s="5"/>
      <c r="B361" s="5"/>
      <c r="C361" s="53"/>
      <c r="D361" s="71" t="s">
        <v>319</v>
      </c>
      <c r="E361" s="51">
        <v>0</v>
      </c>
      <c r="F361" s="42" t="s">
        <v>3</v>
      </c>
    </row>
    <row r="362" spans="1:9" ht="15.75" customHeight="1" x14ac:dyDescent="0.25">
      <c r="A362" s="5"/>
      <c r="B362" s="5"/>
      <c r="C362" s="53"/>
      <c r="D362" s="72" t="s">
        <v>557</v>
      </c>
      <c r="E362" s="64">
        <f>SUM(E363:E366)</f>
        <v>57000000</v>
      </c>
      <c r="F362" s="63" t="s">
        <v>1</v>
      </c>
    </row>
    <row r="363" spans="1:9" x14ac:dyDescent="0.25">
      <c r="A363" s="3"/>
      <c r="B363" s="3"/>
      <c r="C363" s="34"/>
      <c r="D363" s="43" t="s">
        <v>558</v>
      </c>
      <c r="E363" s="37">
        <v>9000000</v>
      </c>
      <c r="F363" s="43" t="s">
        <v>1</v>
      </c>
    </row>
    <row r="364" spans="1:9" ht="17.25" customHeight="1" x14ac:dyDescent="0.25">
      <c r="A364" s="5"/>
      <c r="B364" s="5"/>
      <c r="C364" s="53"/>
      <c r="D364" s="71" t="s">
        <v>559</v>
      </c>
      <c r="E364" s="50">
        <v>3000000</v>
      </c>
      <c r="F364" s="48" t="s">
        <v>1</v>
      </c>
    </row>
    <row r="365" spans="1:9" s="204" customFormat="1" x14ac:dyDescent="0.25">
      <c r="A365" s="63"/>
      <c r="B365" s="63"/>
      <c r="C365" s="259"/>
      <c r="D365" s="71" t="s">
        <v>560</v>
      </c>
      <c r="E365" s="323">
        <v>35000000</v>
      </c>
      <c r="F365" s="48" t="s">
        <v>1</v>
      </c>
      <c r="H365" s="337">
        <f>1500000*30</f>
        <v>45000000</v>
      </c>
      <c r="I365" s="337">
        <f>H377</f>
        <v>45540000</v>
      </c>
    </row>
    <row r="366" spans="1:9" s="204" customFormat="1" x14ac:dyDescent="0.25">
      <c r="A366" s="63"/>
      <c r="B366" s="63"/>
      <c r="C366" s="259"/>
      <c r="D366" s="71" t="s">
        <v>560</v>
      </c>
      <c r="E366" s="323">
        <v>10000000</v>
      </c>
      <c r="F366" s="327" t="s">
        <v>2</v>
      </c>
      <c r="H366" s="337">
        <f>H365*1.5%</f>
        <v>675000</v>
      </c>
      <c r="I366" s="337">
        <f>I365*1.5%</f>
        <v>683100</v>
      </c>
    </row>
    <row r="367" spans="1:9" ht="30" hidden="1" x14ac:dyDescent="0.25">
      <c r="A367" s="5">
        <v>3</v>
      </c>
      <c r="B367" s="5">
        <v>1</v>
      </c>
      <c r="C367" s="53" t="s">
        <v>89</v>
      </c>
      <c r="D367" s="12" t="s">
        <v>323</v>
      </c>
      <c r="E367" s="75"/>
      <c r="F367" s="46"/>
    </row>
    <row r="368" spans="1:9" ht="30" hidden="1" x14ac:dyDescent="0.25">
      <c r="A368" s="5">
        <v>3</v>
      </c>
      <c r="B368" s="5">
        <v>1</v>
      </c>
      <c r="C368" s="53" t="s">
        <v>98</v>
      </c>
      <c r="D368" s="12" t="s">
        <v>324</v>
      </c>
      <c r="E368" s="75"/>
      <c r="F368" s="46"/>
    </row>
    <row r="369" spans="1:9" hidden="1" x14ac:dyDescent="0.25">
      <c r="A369" s="3">
        <v>3</v>
      </c>
      <c r="B369" s="3">
        <v>1</v>
      </c>
      <c r="C369" s="34" t="s">
        <v>109</v>
      </c>
      <c r="D369" s="2" t="s">
        <v>325</v>
      </c>
      <c r="E369" s="109"/>
      <c r="F369" s="97"/>
    </row>
    <row r="370" spans="1:9" hidden="1" x14ac:dyDescent="0.25">
      <c r="A370" s="5">
        <v>3</v>
      </c>
      <c r="B370" s="5">
        <v>1</v>
      </c>
      <c r="C370" s="53" t="s">
        <v>122</v>
      </c>
      <c r="D370" s="12" t="s">
        <v>326</v>
      </c>
      <c r="E370" s="75"/>
      <c r="F370" s="46"/>
    </row>
    <row r="371" spans="1:9" hidden="1" x14ac:dyDescent="0.25">
      <c r="A371" s="5">
        <v>3</v>
      </c>
      <c r="B371" s="5">
        <v>1</v>
      </c>
      <c r="C371" s="53" t="s">
        <v>125</v>
      </c>
      <c r="D371" s="12" t="s">
        <v>327</v>
      </c>
      <c r="E371" s="75"/>
      <c r="F371" s="46"/>
    </row>
    <row r="372" spans="1:9" ht="30" hidden="1" x14ac:dyDescent="0.25">
      <c r="A372" s="5">
        <v>3</v>
      </c>
      <c r="B372" s="5">
        <v>1</v>
      </c>
      <c r="C372" s="53" t="s">
        <v>159</v>
      </c>
      <c r="D372" s="12" t="s">
        <v>328</v>
      </c>
      <c r="E372" s="75">
        <f>SUM(E373:E375)</f>
        <v>0</v>
      </c>
      <c r="F372" s="46"/>
    </row>
    <row r="373" spans="1:9" hidden="1" x14ac:dyDescent="0.25">
      <c r="A373" s="5"/>
      <c r="B373" s="5"/>
      <c r="C373" s="53"/>
      <c r="D373" s="12"/>
      <c r="E373" s="75"/>
      <c r="F373" s="46"/>
    </row>
    <row r="374" spans="1:9" hidden="1" x14ac:dyDescent="0.25">
      <c r="A374" s="5"/>
      <c r="B374" s="5"/>
      <c r="C374" s="53"/>
      <c r="D374" s="12"/>
      <c r="E374" s="75"/>
      <c r="F374" s="46"/>
    </row>
    <row r="375" spans="1:9" hidden="1" x14ac:dyDescent="0.25">
      <c r="A375" s="5"/>
      <c r="B375" s="5"/>
      <c r="C375" s="53"/>
      <c r="D375" s="12"/>
      <c r="E375" s="75"/>
      <c r="F375" s="46"/>
    </row>
    <row r="376" spans="1:9" x14ac:dyDescent="0.25">
      <c r="A376" s="121">
        <v>3</v>
      </c>
      <c r="B376" s="121">
        <v>2</v>
      </c>
      <c r="C376" s="121"/>
      <c r="D376" s="15" t="s">
        <v>56</v>
      </c>
      <c r="E376" s="122">
        <f>E377+E379+E382</f>
        <v>21000000</v>
      </c>
      <c r="F376" s="15"/>
      <c r="H376" s="164">
        <f>H365-H366</f>
        <v>44325000</v>
      </c>
      <c r="I376" s="164">
        <f>I365-I366</f>
        <v>44856900</v>
      </c>
    </row>
    <row r="377" spans="1:9" x14ac:dyDescent="0.25">
      <c r="A377" s="3">
        <v>3</v>
      </c>
      <c r="B377" s="3">
        <v>2</v>
      </c>
      <c r="C377" s="34" t="s">
        <v>85</v>
      </c>
      <c r="D377" s="2" t="s">
        <v>57</v>
      </c>
      <c r="E377" s="109">
        <f>SUM(E378:E378)</f>
        <v>10000000</v>
      </c>
      <c r="F377" s="97" t="s">
        <v>1</v>
      </c>
      <c r="H377" s="164">
        <f>1380000*33</f>
        <v>45540000</v>
      </c>
      <c r="I377" s="164">
        <f>1200000*33</f>
        <v>39600000</v>
      </c>
    </row>
    <row r="378" spans="1:9" ht="13.5" customHeight="1" x14ac:dyDescent="0.25">
      <c r="A378" s="3"/>
      <c r="B378" s="3"/>
      <c r="C378" s="34"/>
      <c r="D378" s="43" t="s">
        <v>329</v>
      </c>
      <c r="E378" s="37">
        <v>10000000</v>
      </c>
      <c r="F378" s="36" t="s">
        <v>1</v>
      </c>
      <c r="I378" s="164">
        <f>I376-I377</f>
        <v>5256900</v>
      </c>
    </row>
    <row r="379" spans="1:9" ht="29.25" customHeight="1" x14ac:dyDescent="0.25">
      <c r="A379" s="3">
        <v>3</v>
      </c>
      <c r="B379" s="3">
        <v>2</v>
      </c>
      <c r="C379" s="34" t="s">
        <v>89</v>
      </c>
      <c r="D379" s="2" t="s">
        <v>58</v>
      </c>
      <c r="E379" s="35">
        <f>SUM(E380:E381)</f>
        <v>7000000</v>
      </c>
      <c r="F379" s="3" t="s">
        <v>330</v>
      </c>
    </row>
    <row r="380" spans="1:9" x14ac:dyDescent="0.25">
      <c r="A380" s="3"/>
      <c r="B380" s="3"/>
      <c r="C380" s="34"/>
      <c r="D380" s="103" t="s">
        <v>331</v>
      </c>
      <c r="E380" s="104">
        <v>2000000</v>
      </c>
      <c r="F380" s="105" t="s">
        <v>1</v>
      </c>
      <c r="I380" s="164">
        <f>I365*1.5%</f>
        <v>683100</v>
      </c>
    </row>
    <row r="381" spans="1:9" ht="19.5" customHeight="1" x14ac:dyDescent="0.25">
      <c r="A381" s="3"/>
      <c r="B381" s="3"/>
      <c r="C381" s="34"/>
      <c r="D381" s="103" t="s">
        <v>332</v>
      </c>
      <c r="E381" s="104">
        <v>5000000</v>
      </c>
      <c r="F381" s="105" t="s">
        <v>2</v>
      </c>
    </row>
    <row r="382" spans="1:9" ht="29.25" customHeight="1" x14ac:dyDescent="0.25">
      <c r="A382" s="3">
        <v>3</v>
      </c>
      <c r="B382" s="3">
        <v>2</v>
      </c>
      <c r="C382" s="34" t="s">
        <v>98</v>
      </c>
      <c r="D382" s="2" t="s">
        <v>561</v>
      </c>
      <c r="E382" s="35">
        <f>E383</f>
        <v>4000000</v>
      </c>
      <c r="F382" s="3" t="s">
        <v>2</v>
      </c>
    </row>
    <row r="383" spans="1:9" ht="18.75" customHeight="1" x14ac:dyDescent="0.25">
      <c r="A383" s="3"/>
      <c r="B383" s="3"/>
      <c r="C383" s="34"/>
      <c r="D383" s="43" t="s">
        <v>333</v>
      </c>
      <c r="E383" s="109">
        <v>4000000</v>
      </c>
      <c r="F383" s="36" t="s">
        <v>2</v>
      </c>
    </row>
    <row r="384" spans="1:9" hidden="1" x14ac:dyDescent="0.25">
      <c r="A384" s="3"/>
      <c r="B384" s="3"/>
      <c r="C384" s="34"/>
      <c r="D384" s="2"/>
      <c r="E384" s="109"/>
      <c r="F384" s="97"/>
    </row>
    <row r="385" spans="1:6" ht="30" hidden="1" x14ac:dyDescent="0.25">
      <c r="A385" s="5">
        <v>3</v>
      </c>
      <c r="B385" s="5">
        <v>2</v>
      </c>
      <c r="C385" s="53" t="s">
        <v>122</v>
      </c>
      <c r="D385" s="12" t="s">
        <v>334</v>
      </c>
      <c r="E385" s="75"/>
      <c r="F385" s="46"/>
    </row>
    <row r="386" spans="1:6" ht="45" hidden="1" x14ac:dyDescent="0.25">
      <c r="A386" s="5">
        <v>3</v>
      </c>
      <c r="B386" s="5">
        <v>2</v>
      </c>
      <c r="C386" s="53" t="s">
        <v>98</v>
      </c>
      <c r="D386" s="12" t="s">
        <v>335</v>
      </c>
      <c r="E386" s="75"/>
      <c r="F386" s="46"/>
    </row>
    <row r="387" spans="1:6" hidden="1" x14ac:dyDescent="0.25">
      <c r="A387" s="5"/>
      <c r="B387" s="5"/>
      <c r="C387" s="53"/>
      <c r="D387" s="4" t="s">
        <v>336</v>
      </c>
      <c r="E387" s="124">
        <v>0</v>
      </c>
      <c r="F387" s="46" t="s">
        <v>4</v>
      </c>
    </row>
    <row r="388" spans="1:6" hidden="1" x14ac:dyDescent="0.25">
      <c r="A388" s="5"/>
      <c r="B388" s="5"/>
      <c r="C388" s="53"/>
      <c r="D388" s="4" t="s">
        <v>337</v>
      </c>
      <c r="E388" s="124">
        <v>0</v>
      </c>
      <c r="F388" s="46" t="s">
        <v>338</v>
      </c>
    </row>
    <row r="389" spans="1:6" hidden="1" x14ac:dyDescent="0.25">
      <c r="A389" s="5"/>
      <c r="B389" s="5"/>
      <c r="C389" s="53"/>
      <c r="D389" s="4" t="s">
        <v>339</v>
      </c>
      <c r="E389" s="124">
        <v>0</v>
      </c>
      <c r="F389" s="46" t="s">
        <v>4</v>
      </c>
    </row>
    <row r="390" spans="1:6" ht="30" hidden="1" x14ac:dyDescent="0.25">
      <c r="A390" s="3">
        <v>3</v>
      </c>
      <c r="B390" s="3">
        <v>2</v>
      </c>
      <c r="C390" s="34" t="s">
        <v>122</v>
      </c>
      <c r="D390" s="2" t="s">
        <v>340</v>
      </c>
      <c r="E390" s="109">
        <v>0</v>
      </c>
      <c r="F390" s="97" t="s">
        <v>4</v>
      </c>
    </row>
    <row r="391" spans="1:6" hidden="1" x14ac:dyDescent="0.25">
      <c r="A391" s="5"/>
      <c r="B391" s="5"/>
      <c r="C391" s="53"/>
      <c r="D391" s="17" t="s">
        <v>341</v>
      </c>
      <c r="E391" s="124">
        <v>0</v>
      </c>
      <c r="F391" s="46" t="s">
        <v>4</v>
      </c>
    </row>
    <row r="392" spans="1:6" hidden="1" x14ac:dyDescent="0.25">
      <c r="A392" s="5"/>
      <c r="B392" s="5"/>
      <c r="C392" s="53"/>
      <c r="D392" s="2" t="s">
        <v>342</v>
      </c>
      <c r="E392" s="109">
        <v>0</v>
      </c>
      <c r="F392" s="97" t="s">
        <v>4</v>
      </c>
    </row>
    <row r="393" spans="1:6" x14ac:dyDescent="0.25">
      <c r="A393" s="125">
        <v>3</v>
      </c>
      <c r="B393" s="125">
        <v>3</v>
      </c>
      <c r="C393" s="125"/>
      <c r="D393" s="16" t="s">
        <v>61</v>
      </c>
      <c r="E393" s="126">
        <f>E394+E398+E399+E400+E401+E403</f>
        <v>9000000</v>
      </c>
      <c r="F393" s="125"/>
    </row>
    <row r="394" spans="1:6" ht="30" customHeight="1" x14ac:dyDescent="0.25">
      <c r="A394" s="3">
        <v>3</v>
      </c>
      <c r="B394" s="3">
        <v>3</v>
      </c>
      <c r="C394" s="34" t="s">
        <v>85</v>
      </c>
      <c r="D394" s="2" t="s">
        <v>62</v>
      </c>
      <c r="E394" s="35">
        <f>SUM(E395:E397)</f>
        <v>9000000</v>
      </c>
      <c r="F394" s="3" t="s">
        <v>2</v>
      </c>
    </row>
    <row r="395" spans="1:6" ht="18.75" customHeight="1" x14ac:dyDescent="0.25">
      <c r="A395" s="3"/>
      <c r="B395" s="3"/>
      <c r="C395" s="34"/>
      <c r="D395" s="43" t="s">
        <v>343</v>
      </c>
      <c r="E395" s="37">
        <v>2000000</v>
      </c>
      <c r="F395" s="36"/>
    </row>
    <row r="396" spans="1:6" ht="14.25" customHeight="1" x14ac:dyDescent="0.25">
      <c r="A396" s="3"/>
      <c r="B396" s="3"/>
      <c r="C396" s="34"/>
      <c r="D396" s="43" t="s">
        <v>344</v>
      </c>
      <c r="E396" s="37">
        <v>5000000</v>
      </c>
      <c r="F396" s="36"/>
    </row>
    <row r="397" spans="1:6" ht="18" customHeight="1" x14ac:dyDescent="0.25">
      <c r="A397" s="3"/>
      <c r="B397" s="3"/>
      <c r="C397" s="34"/>
      <c r="D397" s="43" t="s">
        <v>414</v>
      </c>
      <c r="E397" s="37">
        <v>2000000</v>
      </c>
      <c r="F397" s="36"/>
    </row>
    <row r="398" spans="1:6" hidden="1" x14ac:dyDescent="0.25">
      <c r="A398" s="5">
        <v>3</v>
      </c>
      <c r="B398" s="5">
        <v>3</v>
      </c>
      <c r="C398" s="53" t="s">
        <v>89</v>
      </c>
      <c r="D398" s="12" t="s">
        <v>345</v>
      </c>
      <c r="E398" s="75"/>
      <c r="F398" s="46"/>
    </row>
    <row r="399" spans="1:6" ht="30" hidden="1" x14ac:dyDescent="0.25">
      <c r="A399" s="5">
        <v>3</v>
      </c>
      <c r="B399" s="5">
        <v>3</v>
      </c>
      <c r="C399" s="53" t="s">
        <v>98</v>
      </c>
      <c r="D399" s="12" t="s">
        <v>346</v>
      </c>
      <c r="E399" s="75"/>
      <c r="F399" s="46"/>
    </row>
    <row r="400" spans="1:6" ht="30" hidden="1" x14ac:dyDescent="0.25">
      <c r="A400" s="5">
        <v>3</v>
      </c>
      <c r="B400" s="5">
        <v>3</v>
      </c>
      <c r="C400" s="53" t="s">
        <v>109</v>
      </c>
      <c r="D400" s="12" t="s">
        <v>347</v>
      </c>
      <c r="E400" s="75"/>
      <c r="F400" s="46"/>
    </row>
    <row r="401" spans="1:6" ht="30" hidden="1" x14ac:dyDescent="0.25">
      <c r="A401" s="3">
        <v>3</v>
      </c>
      <c r="B401" s="3">
        <v>3</v>
      </c>
      <c r="C401" s="34" t="s">
        <v>122</v>
      </c>
      <c r="D401" s="2" t="s">
        <v>348</v>
      </c>
      <c r="E401" s="35">
        <f>E402</f>
        <v>0</v>
      </c>
      <c r="F401" s="3" t="s">
        <v>1</v>
      </c>
    </row>
    <row r="402" spans="1:6" hidden="1" x14ac:dyDescent="0.25">
      <c r="A402" s="5"/>
      <c r="B402" s="5"/>
      <c r="C402" s="53"/>
      <c r="D402" s="222" t="s">
        <v>349</v>
      </c>
      <c r="E402" s="50">
        <v>0</v>
      </c>
      <c r="F402" s="42" t="s">
        <v>1</v>
      </c>
    </row>
    <row r="403" spans="1:6" hidden="1" x14ac:dyDescent="0.25">
      <c r="A403" s="3">
        <v>3</v>
      </c>
      <c r="B403" s="3">
        <v>3</v>
      </c>
      <c r="C403" s="34" t="s">
        <v>125</v>
      </c>
      <c r="D403" s="2" t="s">
        <v>350</v>
      </c>
      <c r="E403" s="35">
        <f>SUM(E404:E404)</f>
        <v>0</v>
      </c>
      <c r="F403" s="3" t="s">
        <v>1</v>
      </c>
    </row>
    <row r="404" spans="1:6" hidden="1" x14ac:dyDescent="0.25">
      <c r="A404" s="3"/>
      <c r="B404" s="3"/>
      <c r="C404" s="34"/>
      <c r="D404" s="207" t="s">
        <v>351</v>
      </c>
      <c r="E404" s="37">
        <v>0</v>
      </c>
      <c r="F404" s="36" t="s">
        <v>1</v>
      </c>
    </row>
    <row r="405" spans="1:6" x14ac:dyDescent="0.25">
      <c r="A405" s="125">
        <v>3</v>
      </c>
      <c r="B405" s="125">
        <v>4</v>
      </c>
      <c r="C405" s="125"/>
      <c r="D405" s="16" t="s">
        <v>63</v>
      </c>
      <c r="E405" s="126">
        <f>E406+E407+E410</f>
        <v>10000000</v>
      </c>
      <c r="F405" s="125"/>
    </row>
    <row r="406" spans="1:6" ht="16.5" hidden="1" customHeight="1" x14ac:dyDescent="0.25">
      <c r="A406" s="5">
        <v>3</v>
      </c>
      <c r="B406" s="5">
        <v>4</v>
      </c>
      <c r="C406" s="53" t="s">
        <v>85</v>
      </c>
      <c r="D406" s="12" t="s">
        <v>352</v>
      </c>
      <c r="E406" s="54"/>
      <c r="F406" s="46"/>
    </row>
    <row r="407" spans="1:6" ht="20.25" customHeight="1" x14ac:dyDescent="0.25">
      <c r="A407" s="5">
        <v>3</v>
      </c>
      <c r="B407" s="5">
        <v>4</v>
      </c>
      <c r="C407" s="47" t="s">
        <v>89</v>
      </c>
      <c r="D407" s="12" t="s">
        <v>64</v>
      </c>
      <c r="E407" s="54">
        <f>SUM(E408:E409)</f>
        <v>5000000</v>
      </c>
      <c r="F407" s="5" t="s">
        <v>2</v>
      </c>
    </row>
    <row r="408" spans="1:6" ht="14.25" hidden="1" customHeight="1" x14ac:dyDescent="0.25">
      <c r="A408" s="5"/>
      <c r="B408" s="5"/>
      <c r="C408" s="47"/>
      <c r="D408" s="71" t="s">
        <v>353</v>
      </c>
      <c r="E408" s="50">
        <v>0</v>
      </c>
      <c r="F408" s="42" t="s">
        <v>0</v>
      </c>
    </row>
    <row r="409" spans="1:6" ht="11.25" customHeight="1" x14ac:dyDescent="0.25">
      <c r="A409" s="5"/>
      <c r="B409" s="5"/>
      <c r="C409" s="47"/>
      <c r="D409" s="71" t="s">
        <v>353</v>
      </c>
      <c r="E409" s="50">
        <v>5000000</v>
      </c>
      <c r="F409" s="42" t="s">
        <v>2</v>
      </c>
    </row>
    <row r="410" spans="1:6" x14ac:dyDescent="0.25">
      <c r="A410" s="5">
        <v>3</v>
      </c>
      <c r="B410" s="5">
        <v>4</v>
      </c>
      <c r="C410" s="53" t="s">
        <v>98</v>
      </c>
      <c r="D410" s="127" t="s">
        <v>65</v>
      </c>
      <c r="E410" s="54">
        <f>SUM(E411:E412)</f>
        <v>5000000</v>
      </c>
      <c r="F410" s="5"/>
    </row>
    <row r="411" spans="1:6" x14ac:dyDescent="0.25">
      <c r="A411" s="5"/>
      <c r="B411" s="5"/>
      <c r="C411" s="47"/>
      <c r="D411" s="71" t="s">
        <v>354</v>
      </c>
      <c r="E411" s="50">
        <v>5000000</v>
      </c>
      <c r="F411" s="42" t="s">
        <v>1</v>
      </c>
    </row>
    <row r="412" spans="1:6" hidden="1" x14ac:dyDescent="0.25">
      <c r="A412" s="5"/>
      <c r="B412" s="5"/>
      <c r="C412" s="47"/>
      <c r="D412" s="71"/>
      <c r="E412" s="50">
        <v>0</v>
      </c>
      <c r="F412" s="42" t="s">
        <v>6</v>
      </c>
    </row>
    <row r="413" spans="1:6" x14ac:dyDescent="0.25">
      <c r="A413" s="128">
        <v>4</v>
      </c>
      <c r="B413" s="129"/>
      <c r="C413" s="129"/>
      <c r="D413" s="14" t="s">
        <v>66</v>
      </c>
      <c r="E413" s="130">
        <f>E414+E419+E432+E437+E445+E452+E456</f>
        <v>71147619.25</v>
      </c>
      <c r="F413" s="129"/>
    </row>
    <row r="414" spans="1:6" hidden="1" x14ac:dyDescent="0.25">
      <c r="A414" s="125">
        <v>4</v>
      </c>
      <c r="B414" s="125">
        <v>1</v>
      </c>
      <c r="C414" s="125"/>
      <c r="D414" s="16" t="s">
        <v>355</v>
      </c>
      <c r="E414" s="126">
        <f>E415+E417</f>
        <v>0</v>
      </c>
      <c r="F414" s="125" t="s">
        <v>3</v>
      </c>
    </row>
    <row r="415" spans="1:6" hidden="1" x14ac:dyDescent="0.25">
      <c r="A415" s="5">
        <v>4</v>
      </c>
      <c r="B415" s="5">
        <v>1</v>
      </c>
      <c r="C415" s="53" t="s">
        <v>122</v>
      </c>
      <c r="D415" s="12" t="s">
        <v>356</v>
      </c>
      <c r="E415" s="75">
        <v>0</v>
      </c>
      <c r="F415" s="46"/>
    </row>
    <row r="416" spans="1:6" hidden="1" x14ac:dyDescent="0.25">
      <c r="A416" s="5"/>
      <c r="B416" s="5"/>
      <c r="C416" s="53"/>
      <c r="D416" s="12"/>
      <c r="E416" s="75"/>
      <c r="F416" s="46"/>
    </row>
    <row r="417" spans="1:7" ht="30" hidden="1" x14ac:dyDescent="0.25">
      <c r="A417" s="3">
        <v>4</v>
      </c>
      <c r="B417" s="3">
        <v>1</v>
      </c>
      <c r="C417" s="34" t="s">
        <v>125</v>
      </c>
      <c r="D417" s="2" t="s">
        <v>357</v>
      </c>
      <c r="E417" s="109">
        <f>SUM(E418:E418)</f>
        <v>0</v>
      </c>
      <c r="F417" s="97"/>
    </row>
    <row r="418" spans="1:7" hidden="1" x14ac:dyDescent="0.25">
      <c r="A418" s="5"/>
      <c r="B418" s="5"/>
      <c r="C418" s="53"/>
      <c r="D418" s="12"/>
      <c r="E418" s="75"/>
      <c r="F418" s="46"/>
    </row>
    <row r="419" spans="1:7" x14ac:dyDescent="0.25">
      <c r="A419" s="125">
        <v>4</v>
      </c>
      <c r="B419" s="125">
        <v>2</v>
      </c>
      <c r="C419" s="131"/>
      <c r="D419" s="16" t="s">
        <v>67</v>
      </c>
      <c r="E419" s="126">
        <f>E420+E422+E426+E428</f>
        <v>60147619.25</v>
      </c>
      <c r="F419" s="125" t="s">
        <v>3</v>
      </c>
    </row>
    <row r="420" spans="1:7" ht="30" x14ac:dyDescent="0.25">
      <c r="A420" s="3">
        <v>4</v>
      </c>
      <c r="B420" s="97">
        <v>2</v>
      </c>
      <c r="C420" s="132" t="s">
        <v>85</v>
      </c>
      <c r="D420" s="107" t="s">
        <v>358</v>
      </c>
      <c r="E420" s="35">
        <f>E421</f>
        <v>5147619.25</v>
      </c>
      <c r="F420" s="46"/>
    </row>
    <row r="421" spans="1:7" x14ac:dyDescent="0.25">
      <c r="A421" s="5"/>
      <c r="B421" s="46"/>
      <c r="C421" s="47"/>
      <c r="D421" s="71" t="s">
        <v>359</v>
      </c>
      <c r="E421" s="322">
        <v>5147619.25</v>
      </c>
      <c r="F421" s="36" t="s">
        <v>3</v>
      </c>
      <c r="G421" s="173">
        <f>E421/50000</f>
        <v>102.95238500000001</v>
      </c>
    </row>
    <row r="422" spans="1:7" ht="30" x14ac:dyDescent="0.25">
      <c r="A422" s="3">
        <v>4</v>
      </c>
      <c r="B422" s="3">
        <v>2</v>
      </c>
      <c r="C422" s="34" t="s">
        <v>89</v>
      </c>
      <c r="D422" s="2" t="s">
        <v>68</v>
      </c>
      <c r="E422" s="35">
        <f>SUM(E423:E425)</f>
        <v>55000000</v>
      </c>
      <c r="F422" s="76" t="s">
        <v>3</v>
      </c>
    </row>
    <row r="423" spans="1:7" x14ac:dyDescent="0.25">
      <c r="A423" s="3"/>
      <c r="B423" s="97"/>
      <c r="C423" s="132"/>
      <c r="D423" s="43" t="s">
        <v>600</v>
      </c>
      <c r="E423" s="51">
        <v>55000000</v>
      </c>
      <c r="F423" s="42"/>
    </row>
    <row r="424" spans="1:7" hidden="1" x14ac:dyDescent="0.25">
      <c r="A424" s="133"/>
      <c r="B424" s="134"/>
      <c r="C424" s="135"/>
      <c r="D424" s="136" t="s">
        <v>360</v>
      </c>
      <c r="E424" s="137">
        <v>0</v>
      </c>
      <c r="F424" s="138"/>
    </row>
    <row r="425" spans="1:7" hidden="1" x14ac:dyDescent="0.25">
      <c r="A425" s="5"/>
      <c r="B425" s="46"/>
      <c r="C425" s="47"/>
      <c r="D425" s="71" t="s">
        <v>361</v>
      </c>
      <c r="E425" s="50">
        <v>0</v>
      </c>
      <c r="F425" s="42"/>
    </row>
    <row r="426" spans="1:7" hidden="1" x14ac:dyDescent="0.25">
      <c r="A426" s="3">
        <v>4</v>
      </c>
      <c r="B426" s="97">
        <v>2</v>
      </c>
      <c r="C426" s="132" t="s">
        <v>98</v>
      </c>
      <c r="D426" s="107" t="s">
        <v>362</v>
      </c>
      <c r="E426" s="35">
        <f>E427</f>
        <v>0</v>
      </c>
      <c r="F426" s="3" t="s">
        <v>3</v>
      </c>
    </row>
    <row r="427" spans="1:7" hidden="1" x14ac:dyDescent="0.25">
      <c r="A427" s="5"/>
      <c r="B427" s="46"/>
      <c r="C427" s="47"/>
      <c r="D427" s="71" t="s">
        <v>363</v>
      </c>
      <c r="E427" s="50">
        <v>0</v>
      </c>
      <c r="F427" s="42" t="s">
        <v>3</v>
      </c>
    </row>
    <row r="428" spans="1:7" ht="30" hidden="1" x14ac:dyDescent="0.25">
      <c r="A428" s="3">
        <v>4</v>
      </c>
      <c r="B428" s="97">
        <v>2</v>
      </c>
      <c r="C428" s="132" t="s">
        <v>122</v>
      </c>
      <c r="D428" s="107" t="s">
        <v>364</v>
      </c>
      <c r="E428" s="35">
        <f>SUM(E429:E431)</f>
        <v>0</v>
      </c>
      <c r="F428" s="76" t="s">
        <v>3</v>
      </c>
    </row>
    <row r="429" spans="1:7" hidden="1" x14ac:dyDescent="0.25">
      <c r="A429" s="5"/>
      <c r="B429" s="46"/>
      <c r="C429" s="47"/>
      <c r="D429" s="71" t="s">
        <v>365</v>
      </c>
      <c r="E429" s="50">
        <v>0</v>
      </c>
      <c r="F429" s="42"/>
    </row>
    <row r="430" spans="1:7" hidden="1" x14ac:dyDescent="0.25">
      <c r="A430" s="5"/>
      <c r="B430" s="46"/>
      <c r="C430" s="47"/>
      <c r="D430" s="71"/>
      <c r="E430" s="50"/>
      <c r="F430" s="42"/>
    </row>
    <row r="431" spans="1:7" hidden="1" x14ac:dyDescent="0.25">
      <c r="A431" s="5"/>
      <c r="B431" s="46"/>
      <c r="C431" s="47"/>
      <c r="D431" s="71"/>
      <c r="E431" s="50"/>
      <c r="F431" s="42"/>
    </row>
    <row r="432" spans="1:7" x14ac:dyDescent="0.25">
      <c r="A432" s="125">
        <v>4</v>
      </c>
      <c r="B432" s="125">
        <v>3</v>
      </c>
      <c r="C432" s="125"/>
      <c r="D432" s="16" t="s">
        <v>69</v>
      </c>
      <c r="E432" s="126">
        <f>SUM(E433:E436)</f>
        <v>6000000</v>
      </c>
      <c r="F432" s="125" t="s">
        <v>0</v>
      </c>
    </row>
    <row r="433" spans="1:7" x14ac:dyDescent="0.25">
      <c r="A433" s="5">
        <v>4</v>
      </c>
      <c r="B433" s="5">
        <v>3</v>
      </c>
      <c r="C433" s="47" t="s">
        <v>85</v>
      </c>
      <c r="D433" s="17" t="s">
        <v>70</v>
      </c>
      <c r="E433" s="91">
        <v>2000000</v>
      </c>
      <c r="F433" s="46" t="s">
        <v>0</v>
      </c>
    </row>
    <row r="434" spans="1:7" x14ac:dyDescent="0.25">
      <c r="A434" s="5">
        <v>4</v>
      </c>
      <c r="B434" s="5">
        <v>3</v>
      </c>
      <c r="C434" s="47" t="s">
        <v>89</v>
      </c>
      <c r="D434" s="17" t="s">
        <v>71</v>
      </c>
      <c r="E434" s="91">
        <v>2500000</v>
      </c>
      <c r="F434" s="46" t="s">
        <v>0</v>
      </c>
    </row>
    <row r="435" spans="1:7" hidden="1" x14ac:dyDescent="0.25">
      <c r="A435" s="5"/>
      <c r="B435" s="5"/>
      <c r="C435" s="47"/>
      <c r="D435" s="17" t="s">
        <v>71</v>
      </c>
      <c r="E435" s="270">
        <v>0</v>
      </c>
      <c r="F435" s="46" t="s">
        <v>1</v>
      </c>
    </row>
    <row r="436" spans="1:7" x14ac:dyDescent="0.25">
      <c r="A436" s="5">
        <v>4</v>
      </c>
      <c r="B436" s="5">
        <v>3</v>
      </c>
      <c r="C436" s="47" t="s">
        <v>98</v>
      </c>
      <c r="D436" s="17" t="s">
        <v>72</v>
      </c>
      <c r="E436" s="91">
        <v>1500000</v>
      </c>
      <c r="F436" s="46" t="s">
        <v>1</v>
      </c>
    </row>
    <row r="437" spans="1:7" ht="30" x14ac:dyDescent="0.25">
      <c r="A437" s="121">
        <v>4</v>
      </c>
      <c r="B437" s="121">
        <v>4</v>
      </c>
      <c r="C437" s="139"/>
      <c r="D437" s="140" t="s">
        <v>73</v>
      </c>
      <c r="E437" s="122">
        <f>E438+E441+E443</f>
        <v>5000000</v>
      </c>
      <c r="F437" s="121" t="s">
        <v>1</v>
      </c>
    </row>
    <row r="438" spans="1:7" x14ac:dyDescent="0.25">
      <c r="A438" s="5">
        <v>4</v>
      </c>
      <c r="B438" s="5">
        <v>4</v>
      </c>
      <c r="C438" s="47" t="s">
        <v>85</v>
      </c>
      <c r="D438" s="12" t="s">
        <v>74</v>
      </c>
      <c r="E438" s="54">
        <f>SUM(E439:E440)</f>
        <v>5000000</v>
      </c>
      <c r="F438" s="46" t="s">
        <v>1</v>
      </c>
    </row>
    <row r="439" spans="1:7" ht="14.25" customHeight="1" x14ac:dyDescent="0.25">
      <c r="A439" s="5"/>
      <c r="B439" s="5"/>
      <c r="C439" s="47"/>
      <c r="D439" s="71" t="s">
        <v>366</v>
      </c>
      <c r="E439" s="50">
        <v>5000000</v>
      </c>
      <c r="F439" s="52" t="s">
        <v>1</v>
      </c>
      <c r="G439" t="s">
        <v>3</v>
      </c>
    </row>
    <row r="440" spans="1:7" hidden="1" x14ac:dyDescent="0.25">
      <c r="A440" s="5"/>
      <c r="B440" s="5"/>
      <c r="C440" s="47"/>
      <c r="D440" s="71"/>
      <c r="E440" s="50"/>
      <c r="F440" s="42"/>
    </row>
    <row r="441" spans="1:7" hidden="1" x14ac:dyDescent="0.25">
      <c r="A441" s="5">
        <v>4</v>
      </c>
      <c r="B441" s="5">
        <v>4</v>
      </c>
      <c r="C441" s="47" t="s">
        <v>89</v>
      </c>
      <c r="D441" s="12" t="s">
        <v>367</v>
      </c>
      <c r="E441" s="54">
        <f>E442</f>
        <v>0</v>
      </c>
      <c r="F441" s="46" t="s">
        <v>3</v>
      </c>
    </row>
    <row r="442" spans="1:7" hidden="1" x14ac:dyDescent="0.25">
      <c r="A442" s="5"/>
      <c r="B442" s="5"/>
      <c r="C442" s="47"/>
      <c r="D442" s="71"/>
      <c r="E442" s="50"/>
      <c r="F442" s="42"/>
    </row>
    <row r="443" spans="1:7" hidden="1" x14ac:dyDescent="0.25">
      <c r="A443" s="5">
        <v>4</v>
      </c>
      <c r="B443" s="5">
        <v>4</v>
      </c>
      <c r="C443" s="47" t="s">
        <v>98</v>
      </c>
      <c r="D443" s="12" t="s">
        <v>368</v>
      </c>
      <c r="E443" s="54">
        <f>SUM(E444)</f>
        <v>0</v>
      </c>
      <c r="F443" s="46" t="s">
        <v>3</v>
      </c>
    </row>
    <row r="444" spans="1:7" hidden="1" x14ac:dyDescent="0.25">
      <c r="A444" s="5"/>
      <c r="B444" s="5"/>
      <c r="C444" s="47"/>
      <c r="D444" s="12"/>
      <c r="E444" s="54"/>
      <c r="F444" s="46"/>
    </row>
    <row r="445" spans="1:7" hidden="1" x14ac:dyDescent="0.25">
      <c r="A445" s="125">
        <v>4</v>
      </c>
      <c r="B445" s="125">
        <v>5</v>
      </c>
      <c r="C445" s="125"/>
      <c r="D445" s="16" t="s">
        <v>369</v>
      </c>
      <c r="E445" s="126">
        <f>E446+E448+E450</f>
        <v>0</v>
      </c>
      <c r="F445" s="125" t="s">
        <v>3</v>
      </c>
    </row>
    <row r="446" spans="1:7" hidden="1" x14ac:dyDescent="0.25">
      <c r="A446" s="3">
        <v>4</v>
      </c>
      <c r="B446" s="3">
        <v>5</v>
      </c>
      <c r="C446" s="132" t="s">
        <v>85</v>
      </c>
      <c r="D446" s="2" t="s">
        <v>370</v>
      </c>
      <c r="E446" s="35">
        <f>E447</f>
        <v>0</v>
      </c>
      <c r="F446" s="97"/>
    </row>
    <row r="447" spans="1:7" hidden="1" x14ac:dyDescent="0.25">
      <c r="A447" s="5"/>
      <c r="B447" s="5"/>
      <c r="C447" s="47"/>
      <c r="D447" s="12"/>
      <c r="E447" s="54"/>
      <c r="F447" s="46"/>
    </row>
    <row r="448" spans="1:7" hidden="1" x14ac:dyDescent="0.25">
      <c r="A448" s="3">
        <v>4</v>
      </c>
      <c r="B448" s="3">
        <v>5</v>
      </c>
      <c r="C448" s="132" t="s">
        <v>89</v>
      </c>
      <c r="D448" s="2" t="s">
        <v>371</v>
      </c>
      <c r="E448" s="35">
        <f>E449</f>
        <v>0</v>
      </c>
      <c r="F448" s="97"/>
    </row>
    <row r="449" spans="1:6" hidden="1" x14ac:dyDescent="0.25">
      <c r="A449" s="3"/>
      <c r="B449" s="3"/>
      <c r="C449" s="132"/>
      <c r="D449" s="2"/>
      <c r="E449" s="35"/>
      <c r="F449" s="97"/>
    </row>
    <row r="450" spans="1:6" ht="30" hidden="1" x14ac:dyDescent="0.25">
      <c r="A450" s="3">
        <v>4</v>
      </c>
      <c r="B450" s="3">
        <v>5</v>
      </c>
      <c r="C450" s="132" t="s">
        <v>98</v>
      </c>
      <c r="D450" s="2" t="s">
        <v>372</v>
      </c>
      <c r="E450" s="35">
        <f>E451</f>
        <v>0</v>
      </c>
      <c r="F450" s="97"/>
    </row>
    <row r="451" spans="1:6" hidden="1" x14ac:dyDescent="0.25">
      <c r="A451" s="3"/>
      <c r="B451" s="3"/>
      <c r="C451" s="132"/>
      <c r="D451" s="2"/>
      <c r="E451" s="35"/>
      <c r="F451" s="97"/>
    </row>
    <row r="452" spans="1:6" hidden="1" x14ac:dyDescent="0.25">
      <c r="A452" s="125">
        <v>4</v>
      </c>
      <c r="B452" s="125">
        <v>6</v>
      </c>
      <c r="C452" s="125"/>
      <c r="D452" s="16" t="s">
        <v>373</v>
      </c>
      <c r="E452" s="126">
        <f>E453</f>
        <v>0</v>
      </c>
      <c r="F452" s="125" t="s">
        <v>3</v>
      </c>
    </row>
    <row r="453" spans="1:6" hidden="1" x14ac:dyDescent="0.25">
      <c r="A453" s="3">
        <v>4</v>
      </c>
      <c r="B453" s="3">
        <v>6</v>
      </c>
      <c r="C453" s="132" t="s">
        <v>89</v>
      </c>
      <c r="D453" s="2" t="s">
        <v>374</v>
      </c>
      <c r="E453" s="109">
        <f>SUM(E454:E455)</f>
        <v>0</v>
      </c>
      <c r="F453" s="97"/>
    </row>
    <row r="454" spans="1:6" hidden="1" x14ac:dyDescent="0.25">
      <c r="A454" s="5"/>
      <c r="B454" s="5"/>
      <c r="C454" s="46"/>
      <c r="D454" s="12"/>
      <c r="E454" s="75"/>
      <c r="F454" s="46"/>
    </row>
    <row r="455" spans="1:6" hidden="1" x14ac:dyDescent="0.25">
      <c r="A455" s="5"/>
      <c r="B455" s="5"/>
      <c r="C455" s="47"/>
      <c r="D455" s="71"/>
      <c r="E455" s="50"/>
      <c r="F455" s="42"/>
    </row>
    <row r="456" spans="1:6" hidden="1" x14ac:dyDescent="0.25">
      <c r="A456" s="125">
        <v>4</v>
      </c>
      <c r="B456" s="125">
        <v>7</v>
      </c>
      <c r="C456" s="125"/>
      <c r="D456" s="16" t="s">
        <v>375</v>
      </c>
      <c r="E456" s="126">
        <f>E457+E460</f>
        <v>0</v>
      </c>
      <c r="F456" s="125"/>
    </row>
    <row r="457" spans="1:6" ht="30" hidden="1" x14ac:dyDescent="0.25">
      <c r="A457" s="3">
        <v>4</v>
      </c>
      <c r="B457" s="3">
        <v>7</v>
      </c>
      <c r="C457" s="34" t="s">
        <v>89</v>
      </c>
      <c r="D457" s="2" t="s">
        <v>376</v>
      </c>
      <c r="E457" s="35">
        <f>SUM(E458:E459)</f>
        <v>0</v>
      </c>
      <c r="F457" s="3" t="s">
        <v>3</v>
      </c>
    </row>
    <row r="458" spans="1:6" hidden="1" x14ac:dyDescent="0.25">
      <c r="A458" s="46"/>
      <c r="B458" s="46"/>
      <c r="C458" s="46"/>
      <c r="D458" s="71" t="s">
        <v>565</v>
      </c>
      <c r="E458" s="51">
        <v>0</v>
      </c>
      <c r="F458" s="42" t="s">
        <v>3</v>
      </c>
    </row>
    <row r="459" spans="1:6" hidden="1" x14ac:dyDescent="0.25">
      <c r="A459" s="46"/>
      <c r="B459" s="46"/>
      <c r="C459" s="46"/>
      <c r="D459" s="71"/>
      <c r="E459" s="50"/>
      <c r="F459" s="42"/>
    </row>
    <row r="460" spans="1:6" ht="30" hidden="1" x14ac:dyDescent="0.25">
      <c r="A460" s="3">
        <v>4</v>
      </c>
      <c r="B460" s="3">
        <v>7</v>
      </c>
      <c r="C460" s="34" t="s">
        <v>109</v>
      </c>
      <c r="D460" s="2" t="s">
        <v>378</v>
      </c>
      <c r="E460" s="35">
        <f>SUM(E461:E462)</f>
        <v>0</v>
      </c>
      <c r="F460" s="3" t="s">
        <v>3</v>
      </c>
    </row>
    <row r="461" spans="1:6" hidden="1" x14ac:dyDescent="0.25">
      <c r="A461" s="46"/>
      <c r="B461" s="46"/>
      <c r="C461" s="46"/>
      <c r="D461" s="71" t="s">
        <v>379</v>
      </c>
      <c r="E461" s="50">
        <v>0</v>
      </c>
      <c r="F461" s="42"/>
    </row>
    <row r="462" spans="1:6" hidden="1" x14ac:dyDescent="0.25">
      <c r="A462" s="46"/>
      <c r="B462" s="46"/>
      <c r="C462" s="46"/>
      <c r="D462" s="71"/>
      <c r="E462" s="50"/>
      <c r="F462" s="42"/>
    </row>
    <row r="463" spans="1:6" ht="27" x14ac:dyDescent="0.25">
      <c r="A463" s="141">
        <v>5</v>
      </c>
      <c r="B463" s="141"/>
      <c r="C463" s="141"/>
      <c r="D463" s="18" t="s">
        <v>75</v>
      </c>
      <c r="E463" s="142">
        <f>E464+E466+E468</f>
        <v>77172861.280000001</v>
      </c>
      <c r="F463" s="141"/>
    </row>
    <row r="464" spans="1:6" x14ac:dyDescent="0.25">
      <c r="A464" s="19">
        <v>5</v>
      </c>
      <c r="B464" s="19">
        <v>1</v>
      </c>
      <c r="C464" s="19"/>
      <c r="D464" s="19" t="s">
        <v>76</v>
      </c>
      <c r="E464" s="143">
        <f>E465</f>
        <v>2672861.2799999998</v>
      </c>
      <c r="F464" s="19"/>
    </row>
    <row r="465" spans="1:10" x14ac:dyDescent="0.25">
      <c r="A465" s="46">
        <v>5</v>
      </c>
      <c r="B465" s="46">
        <v>1</v>
      </c>
      <c r="C465" s="47" t="s">
        <v>380</v>
      </c>
      <c r="D465" s="46" t="s">
        <v>381</v>
      </c>
      <c r="E465" s="170">
        <v>2672861.2799999998</v>
      </c>
      <c r="F465" s="271" t="s">
        <v>2</v>
      </c>
      <c r="G465" t="s">
        <v>3</v>
      </c>
    </row>
    <row r="466" spans="1:10" x14ac:dyDescent="0.25">
      <c r="A466" s="19">
        <v>5</v>
      </c>
      <c r="B466" s="19">
        <v>2</v>
      </c>
      <c r="C466" s="19"/>
      <c r="D466" s="19" t="s">
        <v>77</v>
      </c>
      <c r="E466" s="143">
        <f>E467</f>
        <v>2500000</v>
      </c>
      <c r="F466" s="19"/>
      <c r="G466" t="s">
        <v>3</v>
      </c>
    </row>
    <row r="467" spans="1:10" x14ac:dyDescent="0.25">
      <c r="A467" s="46">
        <v>5</v>
      </c>
      <c r="B467" s="46">
        <v>2</v>
      </c>
      <c r="C467" s="47" t="s">
        <v>380</v>
      </c>
      <c r="D467" s="46" t="s">
        <v>382</v>
      </c>
      <c r="E467" s="191">
        <v>2500000</v>
      </c>
      <c r="F467" s="271" t="s">
        <v>2</v>
      </c>
      <c r="H467" s="343">
        <f>M5*10%</f>
        <v>86335400</v>
      </c>
      <c r="I467" s="164">
        <f>H467/3600000</f>
        <v>23.982055555555554</v>
      </c>
    </row>
    <row r="468" spans="1:10" x14ac:dyDescent="0.25">
      <c r="A468" s="19">
        <v>5</v>
      </c>
      <c r="B468" s="19">
        <v>3</v>
      </c>
      <c r="C468" s="19"/>
      <c r="D468" s="19" t="s">
        <v>78</v>
      </c>
      <c r="E468" s="143">
        <f>E469</f>
        <v>72000000</v>
      </c>
      <c r="F468" s="19"/>
      <c r="H468" s="343">
        <f>3600000*30</f>
        <v>108000000</v>
      </c>
      <c r="I468" s="164">
        <f>10*3600000</f>
        <v>36000000</v>
      </c>
      <c r="J468" s="173">
        <f>I468/M5*100</f>
        <v>4.1697843526525622</v>
      </c>
    </row>
    <row r="469" spans="1:10" x14ac:dyDescent="0.25">
      <c r="A469" s="46">
        <v>5</v>
      </c>
      <c r="B469" s="46">
        <v>3</v>
      </c>
      <c r="C469" s="47" t="s">
        <v>380</v>
      </c>
      <c r="D469" s="46" t="s">
        <v>383</v>
      </c>
      <c r="E469" s="75">
        <f>SUM(E470:E470)</f>
        <v>72000000</v>
      </c>
      <c r="F469" s="46" t="s">
        <v>3</v>
      </c>
      <c r="H469" s="164">
        <f>E470/M5*100</f>
        <v>8.3395687053051244</v>
      </c>
      <c r="I469" s="164" t="s">
        <v>397</v>
      </c>
    </row>
    <row r="470" spans="1:10" x14ac:dyDescent="0.25">
      <c r="A470" s="46"/>
      <c r="B470" s="46"/>
      <c r="C470" s="47"/>
      <c r="D470" s="55" t="s">
        <v>669</v>
      </c>
      <c r="E470" s="323">
        <v>72000000</v>
      </c>
      <c r="F470" s="42"/>
      <c r="H470" s="164">
        <f>E470/3600000</f>
        <v>20</v>
      </c>
      <c r="I470" s="164" t="s">
        <v>420</v>
      </c>
    </row>
    <row r="471" spans="1:10" x14ac:dyDescent="0.25">
      <c r="A471" s="144"/>
      <c r="B471" s="144"/>
      <c r="C471" s="144"/>
      <c r="D471" s="144" t="s">
        <v>385</v>
      </c>
      <c r="E471" s="145">
        <f>E472</f>
        <v>0</v>
      </c>
      <c r="F471" s="144"/>
    </row>
    <row r="472" spans="1:10" x14ac:dyDescent="0.25">
      <c r="A472" s="46"/>
      <c r="B472" s="46"/>
      <c r="C472" s="46"/>
      <c r="D472" s="46" t="s">
        <v>386</v>
      </c>
      <c r="E472" s="146">
        <v>0</v>
      </c>
      <c r="F472" s="46" t="s">
        <v>3</v>
      </c>
      <c r="H472" s="164">
        <f>30*12</f>
        <v>360</v>
      </c>
    </row>
    <row r="475" spans="1:10" x14ac:dyDescent="0.25">
      <c r="D475" s="192" t="s">
        <v>392</v>
      </c>
      <c r="E475" s="191">
        <f>E4+E160+E356+E413+E463</f>
        <v>2217488642.8000002</v>
      </c>
    </row>
    <row r="476" spans="1:10" x14ac:dyDescent="0.25">
      <c r="D476" s="192" t="s">
        <v>422</v>
      </c>
      <c r="E476" s="191">
        <f>E475+E471</f>
        <v>2217488642.8000002</v>
      </c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7322834645669292" header="0.31496062992125984" footer="0.31496062992125984"/>
  <pageSetup paperSize="5" scale="88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72"/>
  <sheetViews>
    <sheetView view="pageBreakPreview" zoomScaleNormal="100" zoomScaleSheetLayoutView="100" workbookViewId="0">
      <selection activeCell="H16" sqref="H16"/>
    </sheetView>
  </sheetViews>
  <sheetFormatPr defaultRowHeight="15" x14ac:dyDescent="0.25"/>
  <cols>
    <col min="1" max="1" width="3.5703125" customWidth="1"/>
    <col min="2" max="3" width="4.5703125" customWidth="1"/>
    <col min="4" max="4" width="58.7109375" customWidth="1"/>
    <col min="5" max="5" width="16.5703125" customWidth="1"/>
    <col min="6" max="6" width="14.85546875" customWidth="1"/>
    <col min="7" max="7" width="15.28515625" bestFit="1" customWidth="1"/>
    <col min="8" max="8" width="16.28515625" bestFit="1" customWidth="1"/>
    <col min="9" max="9" width="17.140625" customWidth="1"/>
    <col min="10" max="10" width="14.140625" customWidth="1"/>
    <col min="11" max="11" width="16.140625" customWidth="1"/>
    <col min="12" max="12" width="15.85546875" customWidth="1"/>
    <col min="13" max="13" width="15.140625" customWidth="1"/>
    <col min="14" max="14" width="13.140625" customWidth="1"/>
    <col min="15" max="15" width="14" customWidth="1"/>
    <col min="16" max="16" width="12.42578125" customWidth="1"/>
    <col min="17" max="17" width="15.42578125" bestFit="1" customWidth="1"/>
  </cols>
  <sheetData>
    <row r="1" spans="1:19" x14ac:dyDescent="0.25">
      <c r="A1" s="377" t="s">
        <v>533</v>
      </c>
      <c r="B1" s="377"/>
      <c r="C1" s="377"/>
      <c r="D1" s="377"/>
      <c r="E1" s="377"/>
      <c r="F1" s="377"/>
    </row>
    <row r="2" spans="1:19" x14ac:dyDescent="0.25">
      <c r="A2" s="378"/>
      <c r="B2" s="378"/>
      <c r="C2" s="378"/>
      <c r="D2" s="378"/>
      <c r="E2" s="378"/>
      <c r="F2" s="378"/>
      <c r="H2" s="173">
        <f>E11-E14-E18</f>
        <v>414634572</v>
      </c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264" t="s">
        <v>80</v>
      </c>
    </row>
    <row r="4" spans="1:19" x14ac:dyDescent="0.25">
      <c r="A4" s="7">
        <v>1</v>
      </c>
      <c r="B4" s="7"/>
      <c r="C4" s="7"/>
      <c r="D4" s="7" t="s">
        <v>21</v>
      </c>
      <c r="E4" s="31">
        <f>E5+E77+E95+E115+E145</f>
        <v>1102934868</v>
      </c>
      <c r="F4" s="32"/>
      <c r="H4" s="147" t="s">
        <v>387</v>
      </c>
      <c r="I4" s="148" t="s">
        <v>0</v>
      </c>
      <c r="J4" s="148" t="s">
        <v>1</v>
      </c>
      <c r="K4" s="148" t="s">
        <v>2</v>
      </c>
      <c r="L4" s="149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2236442815.6199999</v>
      </c>
      <c r="S4" s="150"/>
    </row>
    <row r="5" spans="1:19" ht="32.25" customHeight="1" x14ac:dyDescent="0.25">
      <c r="A5" s="8">
        <v>1</v>
      </c>
      <c r="B5" s="8">
        <v>1</v>
      </c>
      <c r="C5" s="8"/>
      <c r="D5" s="6" t="s">
        <v>20</v>
      </c>
      <c r="E5" s="33">
        <f>E6+E11+E19+E33+E53+E56+E61+E72+E74</f>
        <v>793734868</v>
      </c>
      <c r="F5" s="8"/>
      <c r="H5" s="147" t="s">
        <v>391</v>
      </c>
      <c r="I5" s="151">
        <v>646789600</v>
      </c>
      <c r="J5" s="151">
        <v>158141454.34</v>
      </c>
      <c r="K5" s="151">
        <v>28771761.280000001</v>
      </c>
      <c r="L5" s="151">
        <v>41000000</v>
      </c>
      <c r="M5" s="151">
        <v>1126340000</v>
      </c>
      <c r="N5" s="152">
        <v>5000000</v>
      </c>
      <c r="O5" s="152">
        <v>56400000</v>
      </c>
      <c r="P5" s="153">
        <v>220000000</v>
      </c>
      <c r="Q5" s="154">
        <f>SUM(I5:P5)</f>
        <v>2282442815.6199999</v>
      </c>
    </row>
    <row r="6" spans="1:19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79360496</v>
      </c>
      <c r="F6" s="3" t="s">
        <v>0</v>
      </c>
      <c r="H6" s="147" t="s">
        <v>392</v>
      </c>
      <c r="I6" s="151">
        <f>E7+E8+E12+E13+E15+E16+E17+E19+E36+E38+E40+E41+E48+E49+E54+E80+E87+E116+E130+E138+E201+E429+E430</f>
        <v>656834868</v>
      </c>
      <c r="J6" s="151">
        <f>E43+E45+E47+E50+E57+E60+E79+E83+E85+E86+E88+E96+E108+E120+E124+E125+E126+E135+E146+E149+E169+E359+E373+E376+E397+E399+E104+E406+E431+E432+E435</f>
        <v>177700000</v>
      </c>
      <c r="K6" s="151">
        <f>E105+E133+E214+E316+E377+E378++E390+E405+E461+E463</f>
        <v>38000000</v>
      </c>
      <c r="L6" s="151">
        <f>E9+E14+E18+E34+E37+E42+E44+E46+E55+E58+E59+E173+E177+E204+E335+E343+E344</f>
        <v>55000000</v>
      </c>
      <c r="M6" s="151">
        <f>E61+E159-E161+E186+E193+E206+E207+E217+E249+E266+E273+E277+E281+E293+E289+E301+E303+E305+E307+E309+E310+E323+E333+E334+E350+E416+E418+E465</f>
        <v>1212130000</v>
      </c>
      <c r="N6" s="151">
        <f>E52+E161+E51+E252+E254+E320</f>
        <v>21000000</v>
      </c>
      <c r="O6" s="151">
        <f>E72+E74</f>
        <v>56400000</v>
      </c>
      <c r="P6" s="155">
        <f>E91</f>
        <v>220000000</v>
      </c>
      <c r="Q6" s="156">
        <f>SUM(I6:P6)</f>
        <v>2437064868</v>
      </c>
      <c r="R6" s="79"/>
      <c r="S6" s="157"/>
    </row>
    <row r="7" spans="1:19" x14ac:dyDescent="0.25">
      <c r="A7" s="3"/>
      <c r="B7" s="3"/>
      <c r="C7" s="34"/>
      <c r="D7" s="36" t="s">
        <v>595</v>
      </c>
      <c r="E7" s="37">
        <f>F7*12</f>
        <v>52160496</v>
      </c>
      <c r="F7" s="37">
        <v>4346708</v>
      </c>
      <c r="H7" s="147"/>
      <c r="I7" s="155"/>
      <c r="J7" s="155"/>
      <c r="K7" s="155"/>
      <c r="L7" s="151"/>
      <c r="M7" s="155"/>
      <c r="N7" s="155"/>
      <c r="O7" s="155"/>
      <c r="P7" s="155"/>
      <c r="Q7" s="158">
        <f>Q5-Q6</f>
        <v>-154622052.38000011</v>
      </c>
      <c r="R7" s="79"/>
      <c r="S7" s="79"/>
    </row>
    <row r="8" spans="1:19" x14ac:dyDescent="0.25">
      <c r="A8" s="3"/>
      <c r="B8" s="3"/>
      <c r="C8" s="34"/>
      <c r="D8" s="36" t="s">
        <v>505</v>
      </c>
      <c r="E8" s="37">
        <f>2150000*12</f>
        <v>25800000</v>
      </c>
      <c r="F8" s="37">
        <f>E8/12</f>
        <v>2150000</v>
      </c>
      <c r="H8" s="147" t="s">
        <v>393</v>
      </c>
      <c r="I8" s="152">
        <f>I5-I6</f>
        <v>-10045268</v>
      </c>
      <c r="J8" s="152">
        <f t="shared" ref="J8:P8" si="0">J5-J6</f>
        <v>-19558545.659999996</v>
      </c>
      <c r="K8" s="152">
        <f t="shared" si="0"/>
        <v>-9228238.7199999988</v>
      </c>
      <c r="L8" s="152">
        <f t="shared" si="0"/>
        <v>-14000000</v>
      </c>
      <c r="M8" s="151">
        <f>M5-M6</f>
        <v>-85790000</v>
      </c>
      <c r="N8" s="151">
        <f t="shared" si="0"/>
        <v>-16000000</v>
      </c>
      <c r="O8" s="151">
        <f t="shared" si="0"/>
        <v>0</v>
      </c>
      <c r="P8" s="155">
        <f t="shared" si="0"/>
        <v>0</v>
      </c>
      <c r="Q8" s="156"/>
      <c r="R8" s="79"/>
      <c r="S8" s="79"/>
    </row>
    <row r="9" spans="1:19" x14ac:dyDescent="0.25">
      <c r="A9" s="3"/>
      <c r="B9" s="3"/>
      <c r="C9" s="34"/>
      <c r="D9" s="36" t="s">
        <v>88</v>
      </c>
      <c r="E9" s="40">
        <v>1400000</v>
      </c>
      <c r="F9" s="36" t="s">
        <v>6</v>
      </c>
      <c r="G9" s="173">
        <f>E8+E9</f>
        <v>27200000</v>
      </c>
      <c r="H9" s="79"/>
      <c r="I9" s="79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x14ac:dyDescent="0.25">
      <c r="A10" s="3"/>
      <c r="B10" s="3"/>
      <c r="C10" s="34"/>
      <c r="D10" s="38"/>
      <c r="E10" s="37"/>
      <c r="F10" s="3"/>
      <c r="H10" s="26" t="s">
        <v>395</v>
      </c>
      <c r="I10" s="25">
        <f>Q6-P6-O6</f>
        <v>2160664868</v>
      </c>
      <c r="J10" s="79"/>
      <c r="K10" s="316">
        <f>J5+K5</f>
        <v>186913215.62</v>
      </c>
      <c r="L10" s="159">
        <f>L5*20%</f>
        <v>8200000</v>
      </c>
      <c r="M10" s="79"/>
      <c r="N10" s="157"/>
      <c r="O10" s="157"/>
      <c r="P10" s="79"/>
      <c r="Q10" s="157"/>
      <c r="R10" s="79"/>
      <c r="S10" s="79"/>
    </row>
    <row r="11" spans="1:19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421234572</v>
      </c>
      <c r="F11" s="2" t="s">
        <v>90</v>
      </c>
      <c r="H11" s="160">
        <v>0.3</v>
      </c>
      <c r="I11" s="161">
        <f>I10*30%</f>
        <v>648199460.39999998</v>
      </c>
      <c r="K11" s="162">
        <f>J6+K6</f>
        <v>215700000</v>
      </c>
      <c r="L11" s="163">
        <f>L5*10%</f>
        <v>4100000</v>
      </c>
      <c r="M11" s="164"/>
      <c r="Q11" s="165"/>
      <c r="R11" s="79"/>
      <c r="S11" s="79"/>
    </row>
    <row r="12" spans="1:19" x14ac:dyDescent="0.25">
      <c r="A12" s="3"/>
      <c r="B12" s="3"/>
      <c r="C12" s="34"/>
      <c r="D12" s="36" t="s">
        <v>596</v>
      </c>
      <c r="E12" s="37">
        <f>3042695*12</f>
        <v>36512340</v>
      </c>
      <c r="F12" s="39" t="s">
        <v>0</v>
      </c>
      <c r="G12" s="173">
        <f>E12+E15</f>
        <v>271234572</v>
      </c>
      <c r="H12" s="20" t="s">
        <v>396</v>
      </c>
      <c r="I12" s="166">
        <f>E5-E19-E33-E61-E72-E74</f>
        <v>565095068</v>
      </c>
      <c r="J12" s="167">
        <f>I12/I10*100</f>
        <v>26.153758334723847</v>
      </c>
      <c r="K12" s="168" t="s">
        <v>397</v>
      </c>
      <c r="L12" s="169"/>
      <c r="M12" s="164"/>
      <c r="O12" s="164"/>
      <c r="P12" s="1"/>
      <c r="Q12" s="1"/>
      <c r="R12" s="79"/>
      <c r="S12" s="79"/>
    </row>
    <row r="13" spans="1:19" x14ac:dyDescent="0.25">
      <c r="A13" s="3"/>
      <c r="B13" s="3"/>
      <c r="C13" s="34"/>
      <c r="D13" s="36" t="s">
        <v>506</v>
      </c>
      <c r="E13" s="37">
        <f>1600000*12</f>
        <v>19200000</v>
      </c>
      <c r="F13" s="39" t="s">
        <v>0</v>
      </c>
      <c r="G13" s="173">
        <f>E13+E14+E17+E18</f>
        <v>150000000</v>
      </c>
      <c r="H13" s="20" t="s">
        <v>398</v>
      </c>
      <c r="I13" s="170">
        <f>I11-I12</f>
        <v>83104392.399999976</v>
      </c>
      <c r="K13" s="171"/>
      <c r="L13" s="169"/>
      <c r="M13" s="164"/>
      <c r="Q13" s="164"/>
      <c r="R13" s="79"/>
      <c r="S13" s="79"/>
    </row>
    <row r="14" spans="1:19" x14ac:dyDescent="0.25">
      <c r="A14" s="3"/>
      <c r="B14" s="3"/>
      <c r="C14" s="34"/>
      <c r="D14" s="36" t="s">
        <v>93</v>
      </c>
      <c r="E14" s="40">
        <v>1200000</v>
      </c>
      <c r="F14" s="39" t="s">
        <v>6</v>
      </c>
      <c r="H14" s="171"/>
      <c r="I14" s="172"/>
      <c r="J14" s="164"/>
      <c r="K14" s="171"/>
      <c r="L14" s="169"/>
      <c r="M14" s="164"/>
      <c r="Q14" s="164"/>
      <c r="R14" s="79"/>
      <c r="S14" s="79"/>
    </row>
    <row r="15" spans="1:19" x14ac:dyDescent="0.25">
      <c r="A15" s="3"/>
      <c r="B15" s="3"/>
      <c r="C15" s="34"/>
      <c r="D15" s="36" t="s">
        <v>597</v>
      </c>
      <c r="E15" s="37">
        <f>2173354*9*12</f>
        <v>234722232</v>
      </c>
      <c r="F15" s="36" t="s">
        <v>0</v>
      </c>
      <c r="H15" s="173"/>
      <c r="I15" s="173"/>
      <c r="M15" s="173"/>
      <c r="N15" s="164"/>
    </row>
    <row r="16" spans="1:19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H16" s="173"/>
      <c r="M16" s="173"/>
      <c r="N16" s="164"/>
    </row>
    <row r="17" spans="1:17" x14ac:dyDescent="0.25">
      <c r="A17" s="3"/>
      <c r="B17" s="3"/>
      <c r="C17" s="34"/>
      <c r="D17" s="36" t="s">
        <v>507</v>
      </c>
      <c r="E17" s="37">
        <f>1150000*9*12</f>
        <v>124200000</v>
      </c>
      <c r="F17" s="36" t="s">
        <v>0</v>
      </c>
      <c r="H17" s="173"/>
      <c r="I17" s="173">
        <f>H17/108</f>
        <v>0</v>
      </c>
      <c r="J17" s="384">
        <f>J19+K19</f>
        <v>28786784.380000003</v>
      </c>
      <c r="K17" s="384"/>
    </row>
    <row r="18" spans="1:17" x14ac:dyDescent="0.25">
      <c r="A18" s="3"/>
      <c r="B18" s="3"/>
      <c r="C18" s="34"/>
      <c r="D18" s="36" t="s">
        <v>97</v>
      </c>
      <c r="E18" s="254">
        <v>5400000</v>
      </c>
      <c r="F18" s="42" t="s">
        <v>6</v>
      </c>
      <c r="H18" s="26"/>
      <c r="I18" s="174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SUM(E20:E32)</f>
        <v>20179800</v>
      </c>
      <c r="F19" s="3" t="s">
        <v>0</v>
      </c>
      <c r="H19" s="182" t="s">
        <v>390</v>
      </c>
      <c r="I19" s="176">
        <v>10045268</v>
      </c>
      <c r="J19" s="177">
        <v>19558545.66</v>
      </c>
      <c r="K19" s="177">
        <v>9228238.7200000007</v>
      </c>
      <c r="L19" s="177">
        <v>14000000</v>
      </c>
      <c r="M19" s="176">
        <v>85790000</v>
      </c>
      <c r="N19" s="176">
        <v>16000000</v>
      </c>
      <c r="O19" s="176">
        <v>0</v>
      </c>
      <c r="P19" s="178">
        <v>0</v>
      </c>
      <c r="Q19" s="175"/>
    </row>
    <row r="20" spans="1:17" x14ac:dyDescent="0.25">
      <c r="A20" s="3"/>
      <c r="B20" s="3"/>
      <c r="C20" s="34"/>
      <c r="D20" s="43" t="s">
        <v>99</v>
      </c>
      <c r="E20" s="37"/>
      <c r="F20" s="3"/>
      <c r="H20" s="26" t="s">
        <v>399</v>
      </c>
      <c r="I20" s="381">
        <f>SUM(I19:N19)</f>
        <v>154622052.38</v>
      </c>
      <c r="J20" s="382"/>
      <c r="K20" s="382"/>
      <c r="L20" s="382"/>
      <c r="M20" s="382"/>
      <c r="N20" s="382"/>
      <c r="O20" s="382"/>
      <c r="P20" s="383"/>
      <c r="Q20" s="179"/>
    </row>
    <row r="21" spans="1:17" x14ac:dyDescent="0.25">
      <c r="A21" s="3"/>
      <c r="B21" s="3"/>
      <c r="C21" s="34"/>
      <c r="D21" s="43" t="s">
        <v>100</v>
      </c>
      <c r="E21" s="37">
        <f>F21*12</f>
        <v>1929936</v>
      </c>
      <c r="F21" s="44">
        <v>160828</v>
      </c>
      <c r="H21" s="180" t="s">
        <v>400</v>
      </c>
      <c r="I21" s="181">
        <f>I8+I19</f>
        <v>0</v>
      </c>
      <c r="J21" s="181">
        <f>J8+J19</f>
        <v>0</v>
      </c>
      <c r="K21" s="181">
        <f>K8+K19</f>
        <v>0</v>
      </c>
      <c r="L21" s="181">
        <f t="shared" ref="L21:M21" si="1">L8+L19</f>
        <v>0</v>
      </c>
      <c r="M21" s="181">
        <f t="shared" si="1"/>
        <v>0</v>
      </c>
      <c r="N21" s="181">
        <f>N8+N19</f>
        <v>0</v>
      </c>
      <c r="O21" s="181"/>
      <c r="P21" s="20"/>
      <c r="Q21" s="171"/>
    </row>
    <row r="22" spans="1:17" x14ac:dyDescent="0.25">
      <c r="A22" s="3"/>
      <c r="B22" s="3"/>
      <c r="C22" s="34"/>
      <c r="D22" s="43" t="s">
        <v>101</v>
      </c>
      <c r="E22" s="37">
        <f t="shared" ref="E22:E28" si="2">F22*12</f>
        <v>1043208</v>
      </c>
      <c r="F22" s="44">
        <v>86934</v>
      </c>
      <c r="H22" s="26" t="s">
        <v>401</v>
      </c>
      <c r="I22" s="181">
        <f>I8+I19</f>
        <v>0</v>
      </c>
      <c r="J22" s="181">
        <f>J8+J19</f>
        <v>0</v>
      </c>
      <c r="K22" s="181">
        <f>K8+K19</f>
        <v>0</v>
      </c>
      <c r="L22" s="181">
        <f>L8+L19</f>
        <v>0</v>
      </c>
      <c r="M22" s="181">
        <f>M8+M19-E467</f>
        <v>0</v>
      </c>
      <c r="N22" s="181">
        <f>N8+N19</f>
        <v>0</v>
      </c>
      <c r="O22" s="181"/>
      <c r="P22" s="20"/>
    </row>
    <row r="23" spans="1:17" x14ac:dyDescent="0.25">
      <c r="A23" s="3"/>
      <c r="B23" s="3"/>
      <c r="C23" s="34"/>
      <c r="D23" s="43" t="s">
        <v>102</v>
      </c>
      <c r="E23" s="37">
        <f t="shared" si="2"/>
        <v>156480</v>
      </c>
      <c r="F23" s="44">
        <v>13040</v>
      </c>
    </row>
    <row r="24" spans="1:17" x14ac:dyDescent="0.25">
      <c r="A24" s="3"/>
      <c r="B24" s="3"/>
      <c r="C24" s="34"/>
      <c r="D24" s="43" t="s">
        <v>103</v>
      </c>
      <c r="E24" s="37">
        <f t="shared" si="2"/>
        <v>125184</v>
      </c>
      <c r="F24" s="44">
        <v>10432</v>
      </c>
      <c r="H24" s="173">
        <f>E21+E22+E23+E24</f>
        <v>3254808</v>
      </c>
    </row>
    <row r="25" spans="1:17" x14ac:dyDescent="0.25">
      <c r="A25" s="3"/>
      <c r="B25" s="3"/>
      <c r="C25" s="34"/>
      <c r="D25" s="43" t="s">
        <v>476</v>
      </c>
      <c r="E25" s="37">
        <f t="shared" si="2"/>
        <v>1350948</v>
      </c>
      <c r="F25" s="44">
        <v>112579</v>
      </c>
      <c r="H25" s="173">
        <f>E19-H24</f>
        <v>16924992</v>
      </c>
      <c r="J25" s="164"/>
    </row>
    <row r="26" spans="1:17" x14ac:dyDescent="0.25">
      <c r="A26" s="3"/>
      <c r="B26" s="3"/>
      <c r="C26" s="34"/>
      <c r="D26" s="43" t="s">
        <v>477</v>
      </c>
      <c r="E26" s="37">
        <f t="shared" si="2"/>
        <v>730248</v>
      </c>
      <c r="F26" s="44">
        <v>60854</v>
      </c>
    </row>
    <row r="27" spans="1:17" x14ac:dyDescent="0.25">
      <c r="A27" s="3"/>
      <c r="B27" s="3"/>
      <c r="C27" s="34"/>
      <c r="D27" s="43" t="s">
        <v>478</v>
      </c>
      <c r="E27" s="37">
        <f t="shared" si="2"/>
        <v>109536</v>
      </c>
      <c r="F27" s="44">
        <v>9128</v>
      </c>
    </row>
    <row r="28" spans="1:17" x14ac:dyDescent="0.25">
      <c r="A28" s="3"/>
      <c r="B28" s="3"/>
      <c r="C28" s="34"/>
      <c r="D28" s="43" t="s">
        <v>479</v>
      </c>
      <c r="E28" s="37">
        <f t="shared" si="2"/>
        <v>87624</v>
      </c>
      <c r="F28" s="44">
        <v>7302</v>
      </c>
    </row>
    <row r="29" spans="1:17" x14ac:dyDescent="0.25">
      <c r="A29" s="3"/>
      <c r="B29" s="3"/>
      <c r="C29" s="34"/>
      <c r="D29" s="43" t="s">
        <v>105</v>
      </c>
      <c r="E29" s="37">
        <f>F29*9*12</f>
        <v>8684712</v>
      </c>
      <c r="F29" s="44">
        <v>80414</v>
      </c>
      <c r="L29" s="164">
        <f>I22+J22+K22+L22+N22</f>
        <v>0</v>
      </c>
    </row>
    <row r="30" spans="1:17" x14ac:dyDescent="0.25">
      <c r="A30" s="3"/>
      <c r="B30" s="3"/>
      <c r="C30" s="34"/>
      <c r="D30" s="43" t="s">
        <v>106</v>
      </c>
      <c r="E30" s="37">
        <f t="shared" ref="E30:E31" si="3">F30*9*12</f>
        <v>4694436</v>
      </c>
      <c r="F30" s="44">
        <v>43467</v>
      </c>
      <c r="I30" s="269">
        <f>E9+E14+E18</f>
        <v>8000000</v>
      </c>
    </row>
    <row r="31" spans="1:17" x14ac:dyDescent="0.25">
      <c r="A31" s="3"/>
      <c r="B31" s="3"/>
      <c r="C31" s="34"/>
      <c r="D31" s="43" t="s">
        <v>107</v>
      </c>
      <c r="E31" s="37">
        <f t="shared" si="3"/>
        <v>704160</v>
      </c>
      <c r="F31" s="44">
        <v>6520</v>
      </c>
    </row>
    <row r="32" spans="1:17" x14ac:dyDescent="0.25">
      <c r="A32" s="3"/>
      <c r="B32" s="3"/>
      <c r="C32" s="34"/>
      <c r="D32" s="43" t="s">
        <v>108</v>
      </c>
      <c r="E32" s="37">
        <f>F32*9*12</f>
        <v>563328</v>
      </c>
      <c r="F32" s="44">
        <v>5216</v>
      </c>
      <c r="N32">
        <f>201-128</f>
        <v>73</v>
      </c>
    </row>
    <row r="33" spans="1:10" x14ac:dyDescent="0.25">
      <c r="A33" s="3">
        <v>1</v>
      </c>
      <c r="B33" s="3">
        <v>1</v>
      </c>
      <c r="C33" s="34" t="s">
        <v>109</v>
      </c>
      <c r="D33" s="4" t="s">
        <v>16</v>
      </c>
      <c r="E33" s="45">
        <f>SUM(E34:E52)</f>
        <v>122060000</v>
      </c>
      <c r="F33" s="2"/>
    </row>
    <row r="34" spans="1:10" x14ac:dyDescent="0.25">
      <c r="A34" s="46"/>
      <c r="B34" s="46"/>
      <c r="C34" s="47"/>
      <c r="D34" s="48" t="s">
        <v>110</v>
      </c>
      <c r="E34" s="49">
        <v>7200000</v>
      </c>
      <c r="F34" s="42" t="s">
        <v>6</v>
      </c>
      <c r="G34" s="173">
        <f>E34/12</f>
        <v>600000</v>
      </c>
      <c r="H34" s="173">
        <f>E34+E37+E42+E44+E46</f>
        <v>19500000</v>
      </c>
    </row>
    <row r="35" spans="1:10" hidden="1" x14ac:dyDescent="0.25">
      <c r="A35" s="46"/>
      <c r="B35" s="46"/>
      <c r="C35" s="47"/>
      <c r="D35" s="48" t="s">
        <v>110</v>
      </c>
      <c r="E35" s="49">
        <v>0</v>
      </c>
      <c r="F35" s="42" t="s">
        <v>111</v>
      </c>
    </row>
    <row r="36" spans="1:10" x14ac:dyDescent="0.25">
      <c r="A36" s="46"/>
      <c r="B36" s="46"/>
      <c r="C36" s="47"/>
      <c r="D36" s="48" t="s">
        <v>112</v>
      </c>
      <c r="E36" s="49">
        <v>10000000</v>
      </c>
      <c r="F36" s="48" t="s">
        <v>0</v>
      </c>
      <c r="H36" s="173">
        <f>E36+E38+E40+E41+E48+E49</f>
        <v>56060000</v>
      </c>
    </row>
    <row r="37" spans="1:10" x14ac:dyDescent="0.25">
      <c r="A37" s="46"/>
      <c r="B37" s="46"/>
      <c r="C37" s="47"/>
      <c r="D37" s="48" t="s">
        <v>113</v>
      </c>
      <c r="E37" s="49">
        <v>1200000</v>
      </c>
      <c r="F37" s="48" t="s">
        <v>6</v>
      </c>
      <c r="G37" s="173">
        <f>E37/12</f>
        <v>100000</v>
      </c>
      <c r="H37" s="173">
        <f>E52</f>
        <v>0</v>
      </c>
    </row>
    <row r="38" spans="1:10" x14ac:dyDescent="0.25">
      <c r="A38" s="46"/>
      <c r="B38" s="46"/>
      <c r="C38" s="47"/>
      <c r="D38" s="42" t="s">
        <v>114</v>
      </c>
      <c r="E38" s="51">
        <v>360000</v>
      </c>
      <c r="F38" s="42" t="s">
        <v>0</v>
      </c>
      <c r="G38" s="173">
        <f>E38/120000</f>
        <v>3</v>
      </c>
      <c r="H38" s="173">
        <f>E43+E45+E47+E50</f>
        <v>46500000</v>
      </c>
    </row>
    <row r="39" spans="1:10" hidden="1" x14ac:dyDescent="0.25">
      <c r="A39" s="46"/>
      <c r="B39" s="46"/>
      <c r="C39" s="47"/>
      <c r="D39" s="42" t="s">
        <v>115</v>
      </c>
      <c r="E39" s="50">
        <v>0</v>
      </c>
      <c r="F39" s="42" t="s">
        <v>0</v>
      </c>
    </row>
    <row r="40" spans="1:10" x14ac:dyDescent="0.25">
      <c r="A40" s="46"/>
      <c r="B40" s="46"/>
      <c r="C40" s="47"/>
      <c r="D40" s="42" t="s">
        <v>116</v>
      </c>
      <c r="E40" s="50">
        <v>4000000</v>
      </c>
      <c r="F40" s="42" t="s">
        <v>0</v>
      </c>
    </row>
    <row r="41" spans="1:10" x14ac:dyDescent="0.25">
      <c r="A41" s="46"/>
      <c r="B41" s="46"/>
      <c r="C41" s="47"/>
      <c r="D41" s="48" t="s">
        <v>410</v>
      </c>
      <c r="E41" s="49">
        <v>6000000</v>
      </c>
      <c r="F41" s="52" t="s">
        <v>0</v>
      </c>
      <c r="G41" t="s">
        <v>9</v>
      </c>
    </row>
    <row r="42" spans="1:10" x14ac:dyDescent="0.25">
      <c r="A42" s="46"/>
      <c r="B42" s="46"/>
      <c r="C42" s="46"/>
      <c r="D42" s="42" t="s">
        <v>117</v>
      </c>
      <c r="E42" s="50">
        <v>1100000</v>
      </c>
      <c r="F42" s="42" t="s">
        <v>6</v>
      </c>
    </row>
    <row r="43" spans="1:10" x14ac:dyDescent="0.25">
      <c r="A43" s="46"/>
      <c r="B43" s="46"/>
      <c r="C43" s="46"/>
      <c r="D43" s="42" t="s">
        <v>602</v>
      </c>
      <c r="E43" s="51">
        <v>10000000</v>
      </c>
      <c r="F43" s="42" t="s">
        <v>1</v>
      </c>
    </row>
    <row r="44" spans="1:10" x14ac:dyDescent="0.25">
      <c r="A44" s="46"/>
      <c r="B44" s="46"/>
      <c r="C44" s="46"/>
      <c r="D44" s="42" t="s">
        <v>540</v>
      </c>
      <c r="E44" s="51">
        <v>0</v>
      </c>
      <c r="F44" s="42" t="s">
        <v>6</v>
      </c>
      <c r="H44" s="173">
        <f>SUM(E43:E45)</f>
        <v>20000000</v>
      </c>
    </row>
    <row r="45" spans="1:10" x14ac:dyDescent="0.25">
      <c r="A45" s="46"/>
      <c r="B45" s="46"/>
      <c r="C45" s="46"/>
      <c r="D45" s="42" t="s">
        <v>540</v>
      </c>
      <c r="E45" s="51">
        <v>10000000</v>
      </c>
      <c r="F45" s="52" t="s">
        <v>1</v>
      </c>
      <c r="G45" t="s">
        <v>2</v>
      </c>
    </row>
    <row r="46" spans="1:10" x14ac:dyDescent="0.25">
      <c r="A46" s="46"/>
      <c r="B46" s="46"/>
      <c r="C46" s="46"/>
      <c r="D46" s="42" t="s">
        <v>119</v>
      </c>
      <c r="E46" s="50">
        <v>10000000</v>
      </c>
      <c r="F46" s="42" t="s">
        <v>6</v>
      </c>
      <c r="J46">
        <f>25*10000</f>
        <v>250000</v>
      </c>
    </row>
    <row r="47" spans="1:10" x14ac:dyDescent="0.25">
      <c r="A47" s="46"/>
      <c r="B47" s="46"/>
      <c r="C47" s="46"/>
      <c r="D47" s="42" t="s">
        <v>610</v>
      </c>
      <c r="E47" s="51">
        <v>25500000</v>
      </c>
      <c r="F47" s="42" t="s">
        <v>1</v>
      </c>
      <c r="H47" s="173">
        <f>SUM(E47:E48)</f>
        <v>61200000</v>
      </c>
      <c r="J47">
        <f>25*5000</f>
        <v>125000</v>
      </c>
    </row>
    <row r="48" spans="1:10" x14ac:dyDescent="0.25">
      <c r="A48" s="46"/>
      <c r="B48" s="46"/>
      <c r="C48" s="46"/>
      <c r="D48" s="42" t="s">
        <v>611</v>
      </c>
      <c r="E48" s="51">
        <v>35700000</v>
      </c>
      <c r="F48" s="42" t="s">
        <v>0</v>
      </c>
      <c r="H48" s="173">
        <f>H47/12</f>
        <v>5100000</v>
      </c>
      <c r="J48">
        <f>SUM(J46:J47)</f>
        <v>375000</v>
      </c>
    </row>
    <row r="49" spans="1:10" x14ac:dyDescent="0.25">
      <c r="A49" s="46"/>
      <c r="B49" s="46"/>
      <c r="C49" s="46"/>
      <c r="D49" s="42" t="s">
        <v>537</v>
      </c>
      <c r="E49" s="51">
        <v>0</v>
      </c>
      <c r="F49" s="42" t="s">
        <v>0</v>
      </c>
      <c r="G49" s="173">
        <f>E49/700000</f>
        <v>0</v>
      </c>
    </row>
    <row r="50" spans="1:10" x14ac:dyDescent="0.25">
      <c r="A50" s="46"/>
      <c r="B50" s="46"/>
      <c r="C50" s="46"/>
      <c r="D50" s="73" t="s">
        <v>652</v>
      </c>
      <c r="E50" s="321">
        <v>1000000</v>
      </c>
      <c r="F50" s="73" t="s">
        <v>1</v>
      </c>
      <c r="G50" s="173"/>
    </row>
    <row r="51" spans="1:10" x14ac:dyDescent="0.25">
      <c r="A51" s="46"/>
      <c r="B51" s="46"/>
      <c r="C51" s="46"/>
      <c r="D51" s="73" t="s">
        <v>653</v>
      </c>
      <c r="E51" s="321">
        <v>0</v>
      </c>
      <c r="F51" s="73" t="s">
        <v>9</v>
      </c>
      <c r="G51" s="173"/>
    </row>
    <row r="52" spans="1:10" x14ac:dyDescent="0.25">
      <c r="A52" s="46"/>
      <c r="B52" s="46"/>
      <c r="C52" s="46"/>
      <c r="D52" s="52" t="s">
        <v>612</v>
      </c>
      <c r="E52" s="51">
        <v>0</v>
      </c>
      <c r="F52" s="52" t="s">
        <v>9</v>
      </c>
      <c r="G52" s="173"/>
    </row>
    <row r="53" spans="1:10" x14ac:dyDescent="0.25">
      <c r="A53" s="5">
        <v>1</v>
      </c>
      <c r="B53" s="5">
        <v>1</v>
      </c>
      <c r="C53" s="53" t="s">
        <v>122</v>
      </c>
      <c r="D53" s="5" t="s">
        <v>17</v>
      </c>
      <c r="E53" s="54">
        <f>SUM(E54:E55)</f>
        <v>56500000</v>
      </c>
      <c r="F53" s="5" t="s">
        <v>0</v>
      </c>
      <c r="H53">
        <f>5*12</f>
        <v>60</v>
      </c>
    </row>
    <row r="54" spans="1:10" x14ac:dyDescent="0.25">
      <c r="A54" s="5"/>
      <c r="B54" s="5"/>
      <c r="C54" s="53"/>
      <c r="D54" s="55" t="s">
        <v>123</v>
      </c>
      <c r="E54" s="50">
        <v>52500000</v>
      </c>
      <c r="F54" s="42" t="s">
        <v>0</v>
      </c>
      <c r="H54" t="s">
        <v>541</v>
      </c>
      <c r="I54" s="256">
        <f>950000*12</f>
        <v>11400000</v>
      </c>
      <c r="J54">
        <v>850000</v>
      </c>
    </row>
    <row r="55" spans="1:10" x14ac:dyDescent="0.25">
      <c r="A55" s="5"/>
      <c r="B55" s="5"/>
      <c r="C55" s="53"/>
      <c r="D55" s="55" t="s">
        <v>124</v>
      </c>
      <c r="E55" s="50">
        <v>4000000</v>
      </c>
      <c r="F55" s="42" t="s">
        <v>6</v>
      </c>
      <c r="H55" t="s">
        <v>525</v>
      </c>
      <c r="I55" s="256">
        <f>875000*12</f>
        <v>10500000</v>
      </c>
      <c r="J55">
        <v>800000</v>
      </c>
    </row>
    <row r="56" spans="1:10" x14ac:dyDescent="0.25">
      <c r="A56" s="5">
        <v>1</v>
      </c>
      <c r="B56" s="5">
        <v>1</v>
      </c>
      <c r="C56" s="53" t="s">
        <v>125</v>
      </c>
      <c r="D56" s="5" t="s">
        <v>18</v>
      </c>
      <c r="E56" s="54">
        <f>SUM(E57:E60)</f>
        <v>8000000</v>
      </c>
      <c r="F56" s="5" t="s">
        <v>135</v>
      </c>
      <c r="G56" s="173">
        <f>E57+E60</f>
        <v>4500000</v>
      </c>
      <c r="H56" t="s">
        <v>526</v>
      </c>
      <c r="I56" s="256">
        <f>I55</f>
        <v>10500000</v>
      </c>
      <c r="J56">
        <v>800000</v>
      </c>
    </row>
    <row r="57" spans="1:10" x14ac:dyDescent="0.25">
      <c r="A57" s="46"/>
      <c r="B57" s="46"/>
      <c r="C57" s="46"/>
      <c r="D57" s="42" t="s">
        <v>126</v>
      </c>
      <c r="E57" s="50">
        <v>1500000</v>
      </c>
      <c r="F57" s="42" t="s">
        <v>1</v>
      </c>
      <c r="G57" t="s">
        <v>6</v>
      </c>
      <c r="H57" t="s">
        <v>542</v>
      </c>
      <c r="I57" s="256">
        <f>837500*12</f>
        <v>10050000</v>
      </c>
      <c r="J57">
        <v>775000</v>
      </c>
    </row>
    <row r="58" spans="1:10" x14ac:dyDescent="0.25">
      <c r="A58" s="46"/>
      <c r="B58" s="46"/>
      <c r="C58" s="46"/>
      <c r="D58" s="42" t="s">
        <v>127</v>
      </c>
      <c r="E58" s="50">
        <v>1000000</v>
      </c>
      <c r="F58" s="42" t="s">
        <v>6</v>
      </c>
      <c r="H58" t="s">
        <v>542</v>
      </c>
      <c r="I58" s="256">
        <f>I57</f>
        <v>10050000</v>
      </c>
      <c r="J58">
        <v>775000</v>
      </c>
    </row>
    <row r="59" spans="1:10" x14ac:dyDescent="0.25">
      <c r="A59" s="46"/>
      <c r="B59" s="46"/>
      <c r="C59" s="46"/>
      <c r="D59" s="42" t="s">
        <v>128</v>
      </c>
      <c r="E59" s="50">
        <v>2500000</v>
      </c>
      <c r="F59" s="42" t="s">
        <v>6</v>
      </c>
      <c r="I59" s="257">
        <f>SUM(I54:I58)</f>
        <v>52500000</v>
      </c>
      <c r="J59">
        <f>SUM(J54:J58)</f>
        <v>4000000</v>
      </c>
    </row>
    <row r="60" spans="1:10" x14ac:dyDescent="0.25">
      <c r="A60" s="46"/>
      <c r="B60" s="46"/>
      <c r="C60" s="46"/>
      <c r="D60" s="42" t="s">
        <v>129</v>
      </c>
      <c r="E60" s="50">
        <v>3000000</v>
      </c>
      <c r="F60" s="42" t="s">
        <v>1</v>
      </c>
      <c r="G60" t="s">
        <v>6</v>
      </c>
    </row>
    <row r="61" spans="1:10" x14ac:dyDescent="0.25">
      <c r="A61" s="5">
        <v>1</v>
      </c>
      <c r="B61" s="5">
        <v>1</v>
      </c>
      <c r="C61" s="53" t="s">
        <v>160</v>
      </c>
      <c r="D61" s="5" t="s">
        <v>438</v>
      </c>
      <c r="E61" s="54">
        <f>E62+E65+E68</f>
        <v>30000000</v>
      </c>
      <c r="F61" s="5" t="s">
        <v>3</v>
      </c>
      <c r="H61">
        <f>M5*3%</f>
        <v>33790200</v>
      </c>
    </row>
    <row r="62" spans="1:10" x14ac:dyDescent="0.25">
      <c r="A62" s="46"/>
      <c r="B62" s="46"/>
      <c r="C62" s="55" t="s">
        <v>85</v>
      </c>
      <c r="D62" s="63" t="s">
        <v>439</v>
      </c>
      <c r="E62" s="64">
        <f>E63+E64</f>
        <v>3000000</v>
      </c>
      <c r="F62" s="42"/>
      <c r="H62" s="173">
        <f>E61/M5*100</f>
        <v>2.6634941491911857</v>
      </c>
    </row>
    <row r="63" spans="1:10" x14ac:dyDescent="0.25">
      <c r="A63" s="46"/>
      <c r="B63" s="46"/>
      <c r="C63" s="55"/>
      <c r="D63" s="55" t="s">
        <v>468</v>
      </c>
      <c r="E63" s="50">
        <v>3000000</v>
      </c>
      <c r="F63" s="42"/>
    </row>
    <row r="64" spans="1:10" x14ac:dyDescent="0.25">
      <c r="A64" s="46"/>
      <c r="B64" s="46"/>
      <c r="C64" s="55"/>
      <c r="D64" s="55" t="s">
        <v>469</v>
      </c>
      <c r="E64" s="51">
        <v>0</v>
      </c>
      <c r="F64" s="42"/>
    </row>
    <row r="65" spans="1:8" ht="30" x14ac:dyDescent="0.25">
      <c r="A65" s="97"/>
      <c r="B65" s="97"/>
      <c r="C65" s="38" t="s">
        <v>89</v>
      </c>
      <c r="D65" s="99" t="s">
        <v>440</v>
      </c>
      <c r="E65" s="100">
        <f>E66+E67</f>
        <v>5000000</v>
      </c>
      <c r="F65" s="36"/>
    </row>
    <row r="66" spans="1:8" x14ac:dyDescent="0.25">
      <c r="A66" s="97"/>
      <c r="B66" s="97"/>
      <c r="C66" s="38"/>
      <c r="D66" s="101" t="s">
        <v>470</v>
      </c>
      <c r="E66" s="40">
        <v>0</v>
      </c>
      <c r="F66" s="36"/>
    </row>
    <row r="67" spans="1:8" x14ac:dyDescent="0.25">
      <c r="A67" s="97"/>
      <c r="B67" s="97"/>
      <c r="C67" s="38"/>
      <c r="D67" s="101" t="s">
        <v>471</v>
      </c>
      <c r="E67" s="37">
        <v>5000000</v>
      </c>
      <c r="F67" s="36"/>
    </row>
    <row r="68" spans="1:8" x14ac:dyDescent="0.25">
      <c r="A68" s="46"/>
      <c r="B68" s="46"/>
      <c r="C68" s="55" t="s">
        <v>98</v>
      </c>
      <c r="D68" s="63" t="s">
        <v>441</v>
      </c>
      <c r="E68" s="64">
        <f>E69+E70+E71</f>
        <v>22000000</v>
      </c>
      <c r="F68" s="42"/>
    </row>
    <row r="69" spans="1:8" x14ac:dyDescent="0.25">
      <c r="A69" s="46"/>
      <c r="B69" s="46"/>
      <c r="C69" s="55"/>
      <c r="D69" s="55" t="s">
        <v>472</v>
      </c>
      <c r="E69" s="50">
        <v>5000000</v>
      </c>
      <c r="F69" s="42"/>
    </row>
    <row r="70" spans="1:8" x14ac:dyDescent="0.25">
      <c r="A70" s="46"/>
      <c r="B70" s="46"/>
      <c r="C70" s="55"/>
      <c r="D70" s="55" t="s">
        <v>543</v>
      </c>
      <c r="E70" s="50">
        <v>15000000</v>
      </c>
      <c r="F70" s="42"/>
    </row>
    <row r="71" spans="1:8" x14ac:dyDescent="0.25">
      <c r="A71" s="46"/>
      <c r="B71" s="46"/>
      <c r="C71" s="55"/>
      <c r="D71" s="55" t="s">
        <v>474</v>
      </c>
      <c r="E71" s="50">
        <v>2000000</v>
      </c>
      <c r="F71" s="42"/>
    </row>
    <row r="72" spans="1:8" x14ac:dyDescent="0.25">
      <c r="A72" s="5">
        <v>1</v>
      </c>
      <c r="B72" s="5">
        <v>1</v>
      </c>
      <c r="C72" s="53" t="s">
        <v>130</v>
      </c>
      <c r="D72" s="5" t="s">
        <v>19</v>
      </c>
      <c r="E72" s="54">
        <f>E73</f>
        <v>18000000</v>
      </c>
      <c r="F72" s="5" t="s">
        <v>131</v>
      </c>
    </row>
    <row r="73" spans="1:8" x14ac:dyDescent="0.25">
      <c r="A73" s="46"/>
      <c r="B73" s="46"/>
      <c r="C73" s="46"/>
      <c r="D73" s="42" t="s">
        <v>19</v>
      </c>
      <c r="E73" s="50">
        <v>18000000</v>
      </c>
      <c r="F73" s="42" t="s">
        <v>131</v>
      </c>
    </row>
    <row r="74" spans="1:8" x14ac:dyDescent="0.25">
      <c r="A74" s="5">
        <v>1</v>
      </c>
      <c r="B74" s="5">
        <v>1</v>
      </c>
      <c r="C74" s="53" t="s">
        <v>444</v>
      </c>
      <c r="D74" s="5" t="s">
        <v>445</v>
      </c>
      <c r="E74" s="54">
        <f>SUM(E75:E76)</f>
        <v>38400000</v>
      </c>
      <c r="F74" s="5" t="s">
        <v>131</v>
      </c>
      <c r="G74">
        <f>12*10</f>
        <v>120</v>
      </c>
    </row>
    <row r="75" spans="1:8" x14ac:dyDescent="0.25">
      <c r="A75" s="5"/>
      <c r="B75" s="5"/>
      <c r="C75" s="53"/>
      <c r="D75" s="42" t="s">
        <v>446</v>
      </c>
      <c r="E75" s="50">
        <v>6000000</v>
      </c>
      <c r="F75" s="42"/>
      <c r="H75">
        <f>9*12</f>
        <v>108</v>
      </c>
    </row>
    <row r="76" spans="1:8" x14ac:dyDescent="0.25">
      <c r="A76" s="46"/>
      <c r="B76" s="46"/>
      <c r="C76" s="46"/>
      <c r="D76" s="42" t="s">
        <v>447</v>
      </c>
      <c r="E76" s="50">
        <v>32400000</v>
      </c>
      <c r="F76" s="42"/>
    </row>
    <row r="77" spans="1:8" x14ac:dyDescent="0.25">
      <c r="A77" s="8">
        <v>1</v>
      </c>
      <c r="B77" s="8">
        <v>2</v>
      </c>
      <c r="C77" s="56"/>
      <c r="D77" s="8" t="s">
        <v>25</v>
      </c>
      <c r="E77" s="57">
        <f>E78+E81+E91</f>
        <v>245600000</v>
      </c>
      <c r="F77" s="58"/>
    </row>
    <row r="78" spans="1:8" x14ac:dyDescent="0.25">
      <c r="A78" s="5">
        <v>1</v>
      </c>
      <c r="B78" s="5">
        <v>2</v>
      </c>
      <c r="C78" s="53" t="s">
        <v>85</v>
      </c>
      <c r="D78" s="5" t="s">
        <v>22</v>
      </c>
      <c r="E78" s="54">
        <f>SUM(E79:E80)</f>
        <v>6200000</v>
      </c>
      <c r="F78" s="5" t="s">
        <v>0</v>
      </c>
    </row>
    <row r="79" spans="1:8" hidden="1" x14ac:dyDescent="0.25">
      <c r="A79" s="46"/>
      <c r="B79" s="46"/>
      <c r="C79" s="47"/>
      <c r="D79" s="42" t="s">
        <v>409</v>
      </c>
      <c r="E79" s="51">
        <v>0</v>
      </c>
      <c r="F79" s="42" t="s">
        <v>1</v>
      </c>
    </row>
    <row r="80" spans="1:8" x14ac:dyDescent="0.25">
      <c r="A80" s="46"/>
      <c r="B80" s="46"/>
      <c r="C80" s="47"/>
      <c r="D80" s="42" t="s">
        <v>583</v>
      </c>
      <c r="E80" s="50">
        <v>6200000</v>
      </c>
      <c r="F80" s="42" t="s">
        <v>0</v>
      </c>
    </row>
    <row r="81" spans="1:8" x14ac:dyDescent="0.25">
      <c r="A81" s="3">
        <v>1</v>
      </c>
      <c r="B81" s="3">
        <v>2</v>
      </c>
      <c r="C81" s="34" t="s">
        <v>89</v>
      </c>
      <c r="D81" s="3" t="s">
        <v>23</v>
      </c>
      <c r="E81" s="35">
        <f>E82+E86+E87+E88</f>
        <v>19400000</v>
      </c>
      <c r="F81" s="2" t="s">
        <v>601</v>
      </c>
    </row>
    <row r="82" spans="1:8" x14ac:dyDescent="0.25">
      <c r="A82" s="5"/>
      <c r="B82" s="5"/>
      <c r="C82" s="53"/>
      <c r="D82" s="60" t="s">
        <v>134</v>
      </c>
      <c r="E82" s="61">
        <f>SUM(E83:E85)</f>
        <v>3000000</v>
      </c>
      <c r="F82" s="60" t="s">
        <v>1</v>
      </c>
      <c r="G82" s="173">
        <f>E81-E87</f>
        <v>9200000</v>
      </c>
    </row>
    <row r="83" spans="1:8" x14ac:dyDescent="0.25">
      <c r="A83" s="5"/>
      <c r="B83" s="5"/>
      <c r="C83" s="53"/>
      <c r="D83" s="62" t="s">
        <v>136</v>
      </c>
      <c r="E83" s="49">
        <v>3000000</v>
      </c>
      <c r="F83" s="48" t="s">
        <v>1</v>
      </c>
    </row>
    <row r="84" spans="1:8" hidden="1" x14ac:dyDescent="0.25">
      <c r="A84" s="5"/>
      <c r="B84" s="5"/>
      <c r="C84" s="53"/>
      <c r="D84" s="62" t="s">
        <v>136</v>
      </c>
      <c r="E84" s="49">
        <v>0</v>
      </c>
      <c r="F84" s="48" t="s">
        <v>0</v>
      </c>
    </row>
    <row r="85" spans="1:8" x14ac:dyDescent="0.25">
      <c r="A85" s="5"/>
      <c r="B85" s="5"/>
      <c r="C85" s="53"/>
      <c r="D85" s="320" t="s">
        <v>137</v>
      </c>
      <c r="E85" s="278">
        <v>0</v>
      </c>
      <c r="F85" s="48" t="s">
        <v>1</v>
      </c>
      <c r="G85" t="s">
        <v>6</v>
      </c>
    </row>
    <row r="86" spans="1:8" x14ac:dyDescent="0.25">
      <c r="A86" s="5"/>
      <c r="B86" s="5"/>
      <c r="C86" s="53"/>
      <c r="D86" s="63" t="s">
        <v>138</v>
      </c>
      <c r="E86" s="64">
        <v>3000000</v>
      </c>
      <c r="F86" s="230" t="s">
        <v>1</v>
      </c>
      <c r="G86" t="s">
        <v>2</v>
      </c>
    </row>
    <row r="87" spans="1:8" x14ac:dyDescent="0.25">
      <c r="A87" s="5"/>
      <c r="B87" s="5"/>
      <c r="C87" s="53"/>
      <c r="D87" s="63" t="s">
        <v>139</v>
      </c>
      <c r="E87" s="64">
        <v>10200000</v>
      </c>
      <c r="F87" s="63" t="s">
        <v>0</v>
      </c>
    </row>
    <row r="88" spans="1:8" x14ac:dyDescent="0.25">
      <c r="A88" s="5"/>
      <c r="B88" s="5"/>
      <c r="C88" s="53"/>
      <c r="D88" s="63" t="s">
        <v>140</v>
      </c>
      <c r="E88" s="64">
        <f>E89+E90</f>
        <v>3200000</v>
      </c>
      <c r="F88" s="63" t="s">
        <v>1</v>
      </c>
      <c r="G88" t="s">
        <v>6</v>
      </c>
    </row>
    <row r="89" spans="1:8" x14ac:dyDescent="0.25">
      <c r="A89" s="5"/>
      <c r="B89" s="5"/>
      <c r="C89" s="53"/>
      <c r="D89" s="65" t="s">
        <v>141</v>
      </c>
      <c r="E89" s="66">
        <v>1000000</v>
      </c>
      <c r="F89" s="67"/>
    </row>
    <row r="90" spans="1:8" x14ac:dyDescent="0.25">
      <c r="A90" s="5"/>
      <c r="B90" s="5"/>
      <c r="C90" s="53"/>
      <c r="D90" s="65" t="s">
        <v>142</v>
      </c>
      <c r="E90" s="66">
        <v>2200000</v>
      </c>
      <c r="F90" s="67"/>
    </row>
    <row r="91" spans="1:8" ht="30" x14ac:dyDescent="0.25">
      <c r="A91" s="3">
        <v>1</v>
      </c>
      <c r="B91" s="3">
        <v>2</v>
      </c>
      <c r="C91" s="34" t="s">
        <v>98</v>
      </c>
      <c r="D91" s="2" t="s">
        <v>24</v>
      </c>
      <c r="E91" s="35">
        <f>SUM(E92:E93)</f>
        <v>220000000</v>
      </c>
      <c r="F91" s="3" t="s">
        <v>4</v>
      </c>
    </row>
    <row r="92" spans="1:8" hidden="1" x14ac:dyDescent="0.25">
      <c r="A92" s="3"/>
      <c r="B92" s="3"/>
      <c r="C92" s="34"/>
      <c r="D92" s="65" t="s">
        <v>143</v>
      </c>
      <c r="E92" s="37">
        <v>0</v>
      </c>
      <c r="F92" s="36" t="s">
        <v>6</v>
      </c>
    </row>
    <row r="93" spans="1:8" x14ac:dyDescent="0.25">
      <c r="A93" s="5"/>
      <c r="B93" s="5"/>
      <c r="C93" s="53"/>
      <c r="D93" s="65" t="s">
        <v>582</v>
      </c>
      <c r="E93" s="66">
        <v>220000000</v>
      </c>
      <c r="F93" s="67" t="s">
        <v>4</v>
      </c>
      <c r="H93" s="274">
        <f>E93*3%</f>
        <v>6600000</v>
      </c>
    </row>
    <row r="94" spans="1:8" x14ac:dyDescent="0.25">
      <c r="A94" s="5"/>
      <c r="B94" s="5"/>
      <c r="C94" s="53"/>
      <c r="D94" s="276" t="s">
        <v>607</v>
      </c>
      <c r="E94" s="66"/>
      <c r="F94" s="67"/>
    </row>
    <row r="95" spans="1:8" ht="30" x14ac:dyDescent="0.25">
      <c r="A95" s="68">
        <v>1</v>
      </c>
      <c r="B95" s="68">
        <v>3</v>
      </c>
      <c r="C95" s="68"/>
      <c r="D95" s="9" t="s">
        <v>26</v>
      </c>
      <c r="E95" s="33">
        <f>E96+E100+E105+E107</f>
        <v>21000000</v>
      </c>
      <c r="F95" s="69"/>
    </row>
    <row r="96" spans="1:8" x14ac:dyDescent="0.25">
      <c r="A96" s="5">
        <v>1</v>
      </c>
      <c r="B96" s="5">
        <v>3</v>
      </c>
      <c r="C96" s="53" t="s">
        <v>85</v>
      </c>
      <c r="D96" s="70" t="s">
        <v>27</v>
      </c>
      <c r="E96" s="54">
        <f>SUM(E97:E99)</f>
        <v>3000000</v>
      </c>
      <c r="F96" s="12" t="s">
        <v>1</v>
      </c>
    </row>
    <row r="97" spans="1:7" x14ac:dyDescent="0.25">
      <c r="A97" s="46"/>
      <c r="B97" s="46"/>
      <c r="C97" s="46"/>
      <c r="D97" s="71" t="s">
        <v>144</v>
      </c>
      <c r="E97" s="50">
        <v>1000000</v>
      </c>
      <c r="F97" s="72"/>
    </row>
    <row r="98" spans="1:7" x14ac:dyDescent="0.25">
      <c r="A98" s="46"/>
      <c r="B98" s="46"/>
      <c r="C98" s="46"/>
      <c r="D98" s="71" t="s">
        <v>145</v>
      </c>
      <c r="E98" s="50">
        <v>1000000</v>
      </c>
      <c r="F98" s="72"/>
    </row>
    <row r="99" spans="1:7" x14ac:dyDescent="0.25">
      <c r="A99" s="46"/>
      <c r="B99" s="46"/>
      <c r="C99" s="46"/>
      <c r="D99" s="71" t="s">
        <v>425</v>
      </c>
      <c r="E99" s="50">
        <v>1000000</v>
      </c>
      <c r="F99" s="72"/>
    </row>
    <row r="100" spans="1:7" x14ac:dyDescent="0.25">
      <c r="A100" s="5">
        <v>1</v>
      </c>
      <c r="B100" s="5">
        <v>3</v>
      </c>
      <c r="C100" s="53" t="s">
        <v>89</v>
      </c>
      <c r="D100" s="5" t="s">
        <v>28</v>
      </c>
      <c r="E100" s="54">
        <f>SUM(E101:E104)</f>
        <v>14000000</v>
      </c>
      <c r="F100" s="5" t="s">
        <v>1</v>
      </c>
    </row>
    <row r="101" spans="1:7" hidden="1" x14ac:dyDescent="0.25">
      <c r="A101" s="46"/>
      <c r="B101" s="46"/>
      <c r="C101" s="46"/>
      <c r="D101" s="42" t="s">
        <v>146</v>
      </c>
      <c r="E101" s="50">
        <v>0</v>
      </c>
      <c r="F101" s="42" t="s">
        <v>6</v>
      </c>
    </row>
    <row r="102" spans="1:7" hidden="1" x14ac:dyDescent="0.25">
      <c r="A102" s="46"/>
      <c r="B102" s="46"/>
      <c r="C102" s="46"/>
      <c r="D102" s="42" t="s">
        <v>128</v>
      </c>
      <c r="E102" s="50">
        <v>0</v>
      </c>
      <c r="F102" s="73"/>
    </row>
    <row r="103" spans="1:7" hidden="1" x14ac:dyDescent="0.25">
      <c r="A103" s="46"/>
      <c r="B103" s="46"/>
      <c r="C103" s="46"/>
      <c r="D103" s="42" t="s">
        <v>145</v>
      </c>
      <c r="E103" s="50">
        <v>0</v>
      </c>
      <c r="F103" s="48" t="s">
        <v>6</v>
      </c>
    </row>
    <row r="104" spans="1:7" x14ac:dyDescent="0.25">
      <c r="A104" s="46"/>
      <c r="B104" s="46"/>
      <c r="C104" s="46"/>
      <c r="D104" s="42" t="s">
        <v>147</v>
      </c>
      <c r="E104" s="50">
        <v>14000000</v>
      </c>
      <c r="F104" s="273" t="s">
        <v>1</v>
      </c>
      <c r="G104" s="186" t="s">
        <v>3</v>
      </c>
    </row>
    <row r="105" spans="1:7" x14ac:dyDescent="0.25">
      <c r="A105" s="3">
        <v>1</v>
      </c>
      <c r="B105" s="3">
        <v>3</v>
      </c>
      <c r="C105" s="34" t="s">
        <v>98</v>
      </c>
      <c r="D105" s="2" t="s">
        <v>29</v>
      </c>
      <c r="E105" s="35">
        <f>SUM(E106:E106)</f>
        <v>2000000</v>
      </c>
      <c r="F105" s="3" t="s">
        <v>2</v>
      </c>
    </row>
    <row r="106" spans="1:7" x14ac:dyDescent="0.25">
      <c r="A106" s="46"/>
      <c r="B106" s="46"/>
      <c r="C106" s="46"/>
      <c r="D106" s="42" t="s">
        <v>144</v>
      </c>
      <c r="E106" s="50">
        <v>2000000</v>
      </c>
      <c r="F106" s="74"/>
    </row>
    <row r="107" spans="1:7" x14ac:dyDescent="0.25">
      <c r="A107" s="3">
        <v>1</v>
      </c>
      <c r="B107" s="3">
        <v>3</v>
      </c>
      <c r="C107" s="34" t="s">
        <v>122</v>
      </c>
      <c r="D107" s="2" t="s">
        <v>30</v>
      </c>
      <c r="E107" s="35">
        <f>SUM(E108:E113)</f>
        <v>2000000</v>
      </c>
      <c r="F107" s="3" t="s">
        <v>1</v>
      </c>
    </row>
    <row r="108" spans="1:7" x14ac:dyDescent="0.25">
      <c r="A108" s="46"/>
      <c r="B108" s="46"/>
      <c r="C108" s="46"/>
      <c r="D108" s="42" t="s">
        <v>148</v>
      </c>
      <c r="E108" s="50">
        <v>2000000</v>
      </c>
      <c r="F108" s="74"/>
    </row>
    <row r="109" spans="1:7" hidden="1" x14ac:dyDescent="0.25">
      <c r="A109" s="46"/>
      <c r="B109" s="46"/>
      <c r="C109" s="46"/>
      <c r="D109" s="42"/>
      <c r="E109" s="50"/>
      <c r="F109" s="74"/>
    </row>
    <row r="110" spans="1:7" ht="15" hidden="1" customHeight="1" x14ac:dyDescent="0.25">
      <c r="A110" s="46"/>
      <c r="B110" s="46"/>
      <c r="C110" s="46"/>
      <c r="D110" s="46" t="s">
        <v>149</v>
      </c>
      <c r="E110" s="75">
        <v>0</v>
      </c>
      <c r="F110" s="46"/>
    </row>
    <row r="111" spans="1:7" ht="15" hidden="1" customHeight="1" x14ac:dyDescent="0.25">
      <c r="A111" s="46"/>
      <c r="B111" s="46"/>
      <c r="C111" s="46"/>
      <c r="D111" s="46" t="s">
        <v>145</v>
      </c>
      <c r="E111" s="75">
        <v>0</v>
      </c>
      <c r="F111" s="46"/>
    </row>
    <row r="112" spans="1:7" ht="15" hidden="1" customHeight="1" x14ac:dyDescent="0.25">
      <c r="A112" s="46"/>
      <c r="B112" s="46"/>
      <c r="C112" s="46"/>
      <c r="D112" s="46" t="s">
        <v>128</v>
      </c>
      <c r="E112" s="75">
        <v>0</v>
      </c>
      <c r="F112" s="46"/>
    </row>
    <row r="113" spans="1:6" ht="15" hidden="1" customHeight="1" x14ac:dyDescent="0.25">
      <c r="A113" s="46"/>
      <c r="B113" s="46"/>
      <c r="C113" s="46"/>
      <c r="D113" s="46" t="s">
        <v>129</v>
      </c>
      <c r="E113" s="75">
        <v>0</v>
      </c>
      <c r="F113" s="5"/>
    </row>
    <row r="114" spans="1:6" ht="15" hidden="1" customHeight="1" x14ac:dyDescent="0.25">
      <c r="A114" s="46"/>
      <c r="B114" s="46"/>
      <c r="C114" s="46"/>
      <c r="D114" s="46" t="s">
        <v>150</v>
      </c>
      <c r="E114" s="75">
        <v>0</v>
      </c>
      <c r="F114" s="5"/>
    </row>
    <row r="115" spans="1:6" ht="30" x14ac:dyDescent="0.25">
      <c r="A115" s="68">
        <v>1</v>
      </c>
      <c r="B115" s="68">
        <v>4</v>
      </c>
      <c r="C115" s="68"/>
      <c r="D115" s="9" t="s">
        <v>31</v>
      </c>
      <c r="E115" s="33">
        <f>E116+E119+E122+E129+E135+E138</f>
        <v>25100000</v>
      </c>
      <c r="F115" s="68"/>
    </row>
    <row r="116" spans="1:6" ht="30" x14ac:dyDescent="0.25">
      <c r="A116" s="3">
        <v>1</v>
      </c>
      <c r="B116" s="3">
        <v>4</v>
      </c>
      <c r="C116" s="34" t="s">
        <v>85</v>
      </c>
      <c r="D116" s="2" t="s">
        <v>32</v>
      </c>
      <c r="E116" s="35">
        <f>SUM(E117:E118)</f>
        <v>3000000</v>
      </c>
      <c r="F116" s="3" t="s">
        <v>0</v>
      </c>
    </row>
    <row r="117" spans="1:6" x14ac:dyDescent="0.25">
      <c r="A117" s="46"/>
      <c r="B117" s="46"/>
      <c r="C117" s="46"/>
      <c r="D117" s="48" t="s">
        <v>128</v>
      </c>
      <c r="E117" s="49">
        <v>3000000</v>
      </c>
      <c r="F117" s="48" t="s">
        <v>0</v>
      </c>
    </row>
    <row r="118" spans="1:6" hidden="1" x14ac:dyDescent="0.25">
      <c r="A118" s="46"/>
      <c r="B118" s="46"/>
      <c r="C118" s="46"/>
      <c r="D118" s="48" t="s">
        <v>151</v>
      </c>
      <c r="E118" s="49">
        <v>0</v>
      </c>
      <c r="F118" s="48" t="s">
        <v>1</v>
      </c>
    </row>
    <row r="119" spans="1:6" x14ac:dyDescent="0.25">
      <c r="A119" s="5">
        <v>1</v>
      </c>
      <c r="B119" s="5">
        <v>4</v>
      </c>
      <c r="C119" s="53" t="s">
        <v>89</v>
      </c>
      <c r="D119" s="5" t="s">
        <v>33</v>
      </c>
      <c r="E119" s="54">
        <f>SUM(E120:E121)</f>
        <v>3000000</v>
      </c>
      <c r="F119" s="5" t="s">
        <v>1</v>
      </c>
    </row>
    <row r="120" spans="1:6" x14ac:dyDescent="0.25">
      <c r="A120" s="5"/>
      <c r="B120" s="5"/>
      <c r="C120" s="53"/>
      <c r="D120" s="48" t="s">
        <v>128</v>
      </c>
      <c r="E120" s="49">
        <v>3000000</v>
      </c>
      <c r="F120" s="48" t="s">
        <v>1</v>
      </c>
    </row>
    <row r="121" spans="1:6" hidden="1" x14ac:dyDescent="0.25">
      <c r="A121" s="5"/>
      <c r="B121" s="5"/>
      <c r="C121" s="53"/>
      <c r="D121" s="48" t="s">
        <v>145</v>
      </c>
      <c r="E121" s="49">
        <v>0</v>
      </c>
      <c r="F121" s="48" t="s">
        <v>1</v>
      </c>
    </row>
    <row r="122" spans="1:6" ht="35.25" customHeight="1" x14ac:dyDescent="0.25">
      <c r="A122" s="3">
        <v>1</v>
      </c>
      <c r="B122" s="3">
        <v>4</v>
      </c>
      <c r="C122" s="34" t="s">
        <v>98</v>
      </c>
      <c r="D122" s="2" t="s">
        <v>34</v>
      </c>
      <c r="E122" s="35">
        <f>SUM(E123:E128)</f>
        <v>9500000</v>
      </c>
      <c r="F122" s="2" t="s">
        <v>1</v>
      </c>
    </row>
    <row r="123" spans="1:6" hidden="1" x14ac:dyDescent="0.25">
      <c r="A123" s="46"/>
      <c r="B123" s="46"/>
      <c r="C123" s="46"/>
      <c r="D123" s="42" t="s">
        <v>152</v>
      </c>
      <c r="E123" s="50">
        <v>0</v>
      </c>
      <c r="F123" s="42" t="s">
        <v>6</v>
      </c>
    </row>
    <row r="124" spans="1:6" x14ac:dyDescent="0.25">
      <c r="A124" s="46"/>
      <c r="B124" s="46"/>
      <c r="C124" s="46"/>
      <c r="D124" s="42" t="s">
        <v>128</v>
      </c>
      <c r="E124" s="50">
        <v>2000000</v>
      </c>
      <c r="F124" s="42" t="s">
        <v>1</v>
      </c>
    </row>
    <row r="125" spans="1:6" x14ac:dyDescent="0.25">
      <c r="A125" s="46"/>
      <c r="B125" s="46"/>
      <c r="C125" s="46"/>
      <c r="D125" s="42" t="s">
        <v>153</v>
      </c>
      <c r="E125" s="49">
        <v>6000000</v>
      </c>
      <c r="F125" s="42" t="s">
        <v>1</v>
      </c>
    </row>
    <row r="126" spans="1:6" x14ac:dyDescent="0.25">
      <c r="A126" s="46"/>
      <c r="B126" s="46"/>
      <c r="C126" s="46"/>
      <c r="D126" s="42" t="s">
        <v>154</v>
      </c>
      <c r="E126" s="49">
        <v>1500000</v>
      </c>
      <c r="F126" s="42" t="s">
        <v>1</v>
      </c>
    </row>
    <row r="127" spans="1:6" hidden="1" x14ac:dyDescent="0.25">
      <c r="A127" s="46"/>
      <c r="B127" s="46"/>
      <c r="C127" s="46"/>
      <c r="D127" s="42" t="s">
        <v>155</v>
      </c>
      <c r="E127" s="49">
        <v>0</v>
      </c>
      <c r="F127" s="42" t="s">
        <v>1</v>
      </c>
    </row>
    <row r="128" spans="1:6" hidden="1" x14ac:dyDescent="0.25">
      <c r="A128" s="46"/>
      <c r="B128" s="46"/>
      <c r="C128" s="46"/>
      <c r="D128" s="42" t="s">
        <v>129</v>
      </c>
      <c r="E128" s="49">
        <v>0</v>
      </c>
      <c r="F128" s="42" t="s">
        <v>9</v>
      </c>
    </row>
    <row r="129" spans="1:7" x14ac:dyDescent="0.25">
      <c r="A129" s="5">
        <v>1</v>
      </c>
      <c r="B129" s="5">
        <v>4</v>
      </c>
      <c r="C129" s="53" t="s">
        <v>109</v>
      </c>
      <c r="D129" s="5" t="s">
        <v>35</v>
      </c>
      <c r="E129" s="54">
        <f>SUM(E130:E134)</f>
        <v>1000000</v>
      </c>
      <c r="F129" s="5" t="s">
        <v>2</v>
      </c>
    </row>
    <row r="130" spans="1:7" hidden="1" x14ac:dyDescent="0.25">
      <c r="A130" s="46"/>
      <c r="B130" s="46"/>
      <c r="C130" s="46"/>
      <c r="D130" s="42" t="s">
        <v>157</v>
      </c>
      <c r="E130" s="51">
        <v>0</v>
      </c>
      <c r="F130" s="42" t="s">
        <v>0</v>
      </c>
      <c r="G130" s="173">
        <f>E130/12</f>
        <v>0</v>
      </c>
    </row>
    <row r="131" spans="1:7" hidden="1" x14ac:dyDescent="0.25">
      <c r="A131" s="46"/>
      <c r="B131" s="46"/>
      <c r="C131" s="46"/>
      <c r="D131" s="52" t="s">
        <v>158</v>
      </c>
      <c r="E131" s="50">
        <v>0</v>
      </c>
      <c r="F131" s="42" t="s">
        <v>6</v>
      </c>
    </row>
    <row r="132" spans="1:7" hidden="1" x14ac:dyDescent="0.25">
      <c r="A132" s="46"/>
      <c r="B132" s="46"/>
      <c r="C132" s="46"/>
      <c r="D132" s="42" t="s">
        <v>158</v>
      </c>
      <c r="E132" s="50">
        <v>0</v>
      </c>
      <c r="F132" s="42" t="s">
        <v>1</v>
      </c>
    </row>
    <row r="133" spans="1:7" x14ac:dyDescent="0.25">
      <c r="A133" s="46"/>
      <c r="B133" s="46"/>
      <c r="C133" s="46"/>
      <c r="D133" s="42" t="s">
        <v>128</v>
      </c>
      <c r="E133" s="50">
        <v>1000000</v>
      </c>
      <c r="F133" s="42" t="s">
        <v>2</v>
      </c>
    </row>
    <row r="134" spans="1:7" hidden="1" x14ac:dyDescent="0.25">
      <c r="A134" s="46"/>
      <c r="B134" s="46"/>
      <c r="C134" s="46"/>
      <c r="D134" s="42" t="s">
        <v>149</v>
      </c>
      <c r="E134" s="50">
        <v>0</v>
      </c>
      <c r="F134" s="42" t="s">
        <v>1</v>
      </c>
    </row>
    <row r="135" spans="1:7" ht="30" x14ac:dyDescent="0.25">
      <c r="A135" s="3">
        <v>1</v>
      </c>
      <c r="B135" s="3">
        <v>4</v>
      </c>
      <c r="C135" s="34" t="s">
        <v>159</v>
      </c>
      <c r="D135" s="2" t="s">
        <v>36</v>
      </c>
      <c r="E135" s="35">
        <f>SUM(E136:E137)</f>
        <v>2000000</v>
      </c>
      <c r="F135" s="3" t="s">
        <v>1</v>
      </c>
    </row>
    <row r="136" spans="1:7" x14ac:dyDescent="0.25">
      <c r="A136" s="46"/>
      <c r="B136" s="46"/>
      <c r="C136" s="46"/>
      <c r="D136" s="42" t="s">
        <v>128</v>
      </c>
      <c r="E136" s="50">
        <v>1000000</v>
      </c>
      <c r="F136" s="76"/>
    </row>
    <row r="137" spans="1:7" x14ac:dyDescent="0.25">
      <c r="A137" s="46"/>
      <c r="B137" s="46"/>
      <c r="C137" s="46"/>
      <c r="D137" s="42" t="s">
        <v>152</v>
      </c>
      <c r="E137" s="50">
        <v>1000000</v>
      </c>
      <c r="F137" s="76"/>
    </row>
    <row r="138" spans="1:7" x14ac:dyDescent="0.25">
      <c r="A138" s="5">
        <v>1</v>
      </c>
      <c r="B138" s="5">
        <v>4</v>
      </c>
      <c r="C138" s="53" t="s">
        <v>160</v>
      </c>
      <c r="D138" s="5" t="s">
        <v>37</v>
      </c>
      <c r="E138" s="54">
        <f>SUM(E139:E141)</f>
        <v>6600000</v>
      </c>
      <c r="F138" s="5" t="s">
        <v>0</v>
      </c>
    </row>
    <row r="139" spans="1:7" x14ac:dyDescent="0.25">
      <c r="A139" s="46"/>
      <c r="B139" s="46"/>
      <c r="C139" s="46"/>
      <c r="D139" s="46" t="s">
        <v>161</v>
      </c>
      <c r="E139" s="50">
        <f>550000*12</f>
        <v>6600000</v>
      </c>
      <c r="F139" s="46" t="s">
        <v>0</v>
      </c>
      <c r="G139" s="173">
        <f>E139/12</f>
        <v>550000</v>
      </c>
    </row>
    <row r="140" spans="1:7" hidden="1" x14ac:dyDescent="0.25">
      <c r="A140" s="46"/>
      <c r="B140" s="46"/>
      <c r="C140" s="46"/>
      <c r="D140" s="77" t="s">
        <v>162</v>
      </c>
      <c r="E140" s="49">
        <v>0</v>
      </c>
      <c r="F140" s="77"/>
    </row>
    <row r="141" spans="1:7" hidden="1" x14ac:dyDescent="0.25">
      <c r="A141" s="46"/>
      <c r="B141" s="46"/>
      <c r="C141" s="46"/>
      <c r="D141" s="46" t="s">
        <v>129</v>
      </c>
      <c r="E141" s="75">
        <v>0</v>
      </c>
      <c r="F141" s="46" t="s">
        <v>6</v>
      </c>
    </row>
    <row r="142" spans="1:7" ht="37.5" hidden="1" customHeight="1" x14ac:dyDescent="0.25">
      <c r="A142" s="3">
        <v>1</v>
      </c>
      <c r="B142" s="3">
        <v>4</v>
      </c>
      <c r="C142" s="34" t="s">
        <v>163</v>
      </c>
      <c r="D142" s="78" t="s">
        <v>164</v>
      </c>
      <c r="E142" s="35">
        <f>E143</f>
        <v>0</v>
      </c>
      <c r="F142" s="3"/>
    </row>
    <row r="143" spans="1:7" hidden="1" x14ac:dyDescent="0.25">
      <c r="A143" s="46"/>
      <c r="B143" s="46"/>
      <c r="C143" s="46"/>
      <c r="D143" s="46" t="s">
        <v>165</v>
      </c>
      <c r="E143" s="75"/>
      <c r="F143" s="46"/>
    </row>
    <row r="144" spans="1:7" hidden="1" x14ac:dyDescent="0.25">
      <c r="A144" s="46"/>
      <c r="B144" s="46"/>
      <c r="C144" s="46"/>
      <c r="D144" s="46"/>
      <c r="E144" s="75"/>
      <c r="F144" s="46"/>
    </row>
    <row r="145" spans="1:8" x14ac:dyDescent="0.25">
      <c r="A145" s="8">
        <v>1</v>
      </c>
      <c r="B145" s="8">
        <v>5</v>
      </c>
      <c r="C145" s="8"/>
      <c r="D145" s="10" t="s">
        <v>38</v>
      </c>
      <c r="E145" s="57">
        <f>E146+E149+E155</f>
        <v>17500000</v>
      </c>
      <c r="F145" s="8"/>
      <c r="H145">
        <v>800000</v>
      </c>
    </row>
    <row r="146" spans="1:8" ht="29.25" hidden="1" customHeight="1" x14ac:dyDescent="0.25">
      <c r="A146" s="3">
        <v>1</v>
      </c>
      <c r="B146" s="3">
        <v>5</v>
      </c>
      <c r="C146" s="34" t="s">
        <v>98</v>
      </c>
      <c r="D146" s="2" t="s">
        <v>39</v>
      </c>
      <c r="E146" s="35">
        <f>SUM(E147:E148)</f>
        <v>0</v>
      </c>
      <c r="F146" s="3" t="s">
        <v>1</v>
      </c>
    </row>
    <row r="147" spans="1:8" hidden="1" x14ac:dyDescent="0.25">
      <c r="A147" s="46"/>
      <c r="B147" s="46"/>
      <c r="C147" s="46"/>
      <c r="D147" s="42" t="s">
        <v>144</v>
      </c>
      <c r="E147" s="50">
        <v>0</v>
      </c>
      <c r="F147" s="42"/>
    </row>
    <row r="148" spans="1:8" hidden="1" x14ac:dyDescent="0.25">
      <c r="A148" s="46"/>
      <c r="B148" s="46"/>
      <c r="C148" s="46"/>
      <c r="D148" s="42" t="s">
        <v>166</v>
      </c>
      <c r="E148" s="50">
        <v>0</v>
      </c>
      <c r="F148" s="42"/>
    </row>
    <row r="149" spans="1:8" x14ac:dyDescent="0.25">
      <c r="A149" s="5">
        <v>1</v>
      </c>
      <c r="B149" s="5">
        <v>5</v>
      </c>
      <c r="C149" s="53" t="s">
        <v>125</v>
      </c>
      <c r="D149" s="79" t="s">
        <v>40</v>
      </c>
      <c r="E149" s="64">
        <f>SUM(E150:E154)</f>
        <v>17500000</v>
      </c>
      <c r="F149" s="63" t="s">
        <v>1</v>
      </c>
      <c r="H149">
        <v>700000</v>
      </c>
    </row>
    <row r="150" spans="1:8" x14ac:dyDescent="0.25">
      <c r="A150" s="5"/>
      <c r="B150" s="5"/>
      <c r="C150" s="53"/>
      <c r="D150" s="42" t="s">
        <v>547</v>
      </c>
      <c r="E150" s="50">
        <v>5000000</v>
      </c>
      <c r="F150" s="63"/>
      <c r="H150">
        <v>700000</v>
      </c>
    </row>
    <row r="151" spans="1:8" hidden="1" x14ac:dyDescent="0.25">
      <c r="A151" s="5"/>
      <c r="B151" s="5"/>
      <c r="C151" s="53"/>
      <c r="D151" s="42" t="s">
        <v>544</v>
      </c>
      <c r="E151" s="50">
        <v>0</v>
      </c>
      <c r="F151" s="63"/>
    </row>
    <row r="152" spans="1:8" hidden="1" x14ac:dyDescent="0.25">
      <c r="A152" s="5"/>
      <c r="B152" s="5"/>
      <c r="C152" s="53"/>
      <c r="D152" s="42" t="s">
        <v>545</v>
      </c>
      <c r="E152" s="50">
        <v>0</v>
      </c>
      <c r="F152" s="63"/>
    </row>
    <row r="153" spans="1:8" x14ac:dyDescent="0.25">
      <c r="A153" s="5"/>
      <c r="B153" s="5"/>
      <c r="C153" s="53"/>
      <c r="D153" s="42" t="s">
        <v>546</v>
      </c>
      <c r="E153" s="50">
        <v>10000000</v>
      </c>
      <c r="F153" s="63"/>
      <c r="H153">
        <f>600000*3</f>
        <v>1800000</v>
      </c>
    </row>
    <row r="154" spans="1:8" x14ac:dyDescent="0.25">
      <c r="A154" s="5"/>
      <c r="B154" s="5"/>
      <c r="C154" s="53"/>
      <c r="D154" s="42" t="s">
        <v>167</v>
      </c>
      <c r="E154" s="50">
        <v>2500000</v>
      </c>
      <c r="F154" s="42"/>
      <c r="H154">
        <f>500000*12</f>
        <v>6000000</v>
      </c>
    </row>
    <row r="155" spans="1:8" hidden="1" x14ac:dyDescent="0.25">
      <c r="A155" s="3">
        <v>1</v>
      </c>
      <c r="B155" s="81">
        <v>5</v>
      </c>
      <c r="C155" s="82" t="s">
        <v>159</v>
      </c>
      <c r="D155" s="83" t="s">
        <v>168</v>
      </c>
      <c r="E155" s="84">
        <f>E156</f>
        <v>0</v>
      </c>
      <c r="F155" s="81" t="s">
        <v>169</v>
      </c>
    </row>
    <row r="156" spans="1:8" hidden="1" x14ac:dyDescent="0.25">
      <c r="A156" s="46"/>
      <c r="B156" s="85"/>
      <c r="C156" s="85"/>
      <c r="D156" s="86" t="s">
        <v>170</v>
      </c>
      <c r="E156" s="87">
        <v>0</v>
      </c>
      <c r="F156" s="85"/>
    </row>
    <row r="157" spans="1:8" x14ac:dyDescent="0.25">
      <c r="A157" s="11">
        <v>2</v>
      </c>
      <c r="B157" s="11"/>
      <c r="C157" s="11"/>
      <c r="D157" s="11" t="s">
        <v>41</v>
      </c>
      <c r="E157" s="88">
        <f>E158+E202+E258+E288+E319+E326+E340+E345</f>
        <v>1068130000</v>
      </c>
      <c r="F157" s="11"/>
      <c r="H157">
        <f>SUM(H145:H154)</f>
        <v>10000000</v>
      </c>
    </row>
    <row r="158" spans="1:8" x14ac:dyDescent="0.25">
      <c r="A158" s="8">
        <v>2</v>
      </c>
      <c r="B158" s="8">
        <v>1</v>
      </c>
      <c r="C158" s="8"/>
      <c r="D158" s="10" t="s">
        <v>42</v>
      </c>
      <c r="E158" s="57">
        <f>E159+E167+E169+E172+E176+E183+E186+E193+E200</f>
        <v>109100000</v>
      </c>
      <c r="F158" s="8"/>
    </row>
    <row r="159" spans="1:8" ht="36" customHeight="1" x14ac:dyDescent="0.25">
      <c r="A159" s="3">
        <v>2</v>
      </c>
      <c r="B159" s="3">
        <v>1</v>
      </c>
      <c r="C159" s="34" t="s">
        <v>85</v>
      </c>
      <c r="D159" s="2" t="s">
        <v>43</v>
      </c>
      <c r="E159" s="35">
        <f>SUM(E160:E163)</f>
        <v>39600000</v>
      </c>
      <c r="F159" s="2" t="s">
        <v>605</v>
      </c>
    </row>
    <row r="160" spans="1:8" x14ac:dyDescent="0.25">
      <c r="A160" s="46"/>
      <c r="B160" s="46"/>
      <c r="C160" s="46"/>
      <c r="D160" s="42" t="s">
        <v>171</v>
      </c>
      <c r="E160" s="50">
        <f>1800000*12</f>
        <v>21600000</v>
      </c>
      <c r="F160" s="42" t="s">
        <v>3</v>
      </c>
      <c r="G160" s="173">
        <f>E160/12</f>
        <v>1800000</v>
      </c>
    </row>
    <row r="161" spans="1:8" x14ac:dyDescent="0.25">
      <c r="A161" s="46"/>
      <c r="B161" s="46"/>
      <c r="C161" s="46"/>
      <c r="D161" s="42" t="s">
        <v>172</v>
      </c>
      <c r="E161" s="50">
        <f>1300000*12</f>
        <v>15600000</v>
      </c>
      <c r="F161" s="52" t="s">
        <v>9</v>
      </c>
      <c r="G161" s="173">
        <f>E161/12</f>
        <v>1300000</v>
      </c>
      <c r="H161" t="s">
        <v>3</v>
      </c>
    </row>
    <row r="162" spans="1:8" x14ac:dyDescent="0.25">
      <c r="A162" s="46"/>
      <c r="B162" s="46"/>
      <c r="C162" s="46"/>
      <c r="D162" s="42" t="s">
        <v>173</v>
      </c>
      <c r="E162" s="50">
        <v>1200000</v>
      </c>
      <c r="F162" s="42" t="s">
        <v>3</v>
      </c>
      <c r="G162" s="173">
        <f>E159-E161</f>
        <v>24000000</v>
      </c>
    </row>
    <row r="163" spans="1:8" x14ac:dyDescent="0.25">
      <c r="A163" s="46"/>
      <c r="B163" s="46"/>
      <c r="C163" s="46"/>
      <c r="D163" s="42" t="s">
        <v>174</v>
      </c>
      <c r="E163" s="50">
        <v>1200000</v>
      </c>
      <c r="F163" s="42" t="s">
        <v>3</v>
      </c>
    </row>
    <row r="164" spans="1:8" hidden="1" x14ac:dyDescent="0.25">
      <c r="A164" s="5">
        <v>2</v>
      </c>
      <c r="B164" s="5">
        <v>1</v>
      </c>
      <c r="C164" s="53" t="s">
        <v>89</v>
      </c>
      <c r="D164" s="5" t="s">
        <v>175</v>
      </c>
      <c r="E164" s="54"/>
      <c r="F164" s="5"/>
    </row>
    <row r="165" spans="1:8" hidden="1" x14ac:dyDescent="0.25">
      <c r="A165" s="5"/>
      <c r="B165" s="5"/>
      <c r="C165" s="53"/>
      <c r="D165" s="5"/>
      <c r="E165" s="54"/>
      <c r="F165" s="5"/>
    </row>
    <row r="166" spans="1:8" hidden="1" x14ac:dyDescent="0.25">
      <c r="A166" s="5"/>
      <c r="B166" s="5"/>
      <c r="C166" s="53"/>
      <c r="D166" s="5"/>
      <c r="E166" s="54"/>
      <c r="F166" s="5"/>
    </row>
    <row r="167" spans="1:8" hidden="1" x14ac:dyDescent="0.25">
      <c r="A167" s="89">
        <v>2</v>
      </c>
      <c r="B167" s="89">
        <v>1</v>
      </c>
      <c r="C167" s="90" t="s">
        <v>98</v>
      </c>
      <c r="D167" s="89" t="s">
        <v>176</v>
      </c>
      <c r="E167" s="91">
        <f>E168</f>
        <v>0</v>
      </c>
      <c r="F167" s="5" t="s">
        <v>3</v>
      </c>
    </row>
    <row r="168" spans="1:8" hidden="1" x14ac:dyDescent="0.25">
      <c r="A168" s="89"/>
      <c r="B168" s="89"/>
      <c r="C168" s="90"/>
      <c r="D168" s="48" t="s">
        <v>177</v>
      </c>
      <c r="E168" s="49">
        <v>0</v>
      </c>
      <c r="F168" s="5"/>
    </row>
    <row r="169" spans="1:8" ht="29.25" customHeight="1" x14ac:dyDescent="0.25">
      <c r="A169" s="3">
        <v>2</v>
      </c>
      <c r="B169" s="3">
        <v>1</v>
      </c>
      <c r="C169" s="34" t="s">
        <v>109</v>
      </c>
      <c r="D169" s="2" t="s">
        <v>44</v>
      </c>
      <c r="E169" s="35">
        <f>E170</f>
        <v>1000000</v>
      </c>
      <c r="F169" s="3" t="s">
        <v>1</v>
      </c>
    </row>
    <row r="170" spans="1:8" ht="18.75" customHeight="1" x14ac:dyDescent="0.25">
      <c r="A170" s="5"/>
      <c r="B170" s="5"/>
      <c r="C170" s="53"/>
      <c r="D170" s="71" t="s">
        <v>178</v>
      </c>
      <c r="E170" s="50">
        <v>1000000</v>
      </c>
      <c r="F170" s="92"/>
    </row>
    <row r="171" spans="1:8" hidden="1" x14ac:dyDescent="0.25">
      <c r="A171" s="5"/>
      <c r="B171" s="5"/>
      <c r="C171" s="53"/>
      <c r="D171" s="12"/>
      <c r="E171" s="54"/>
      <c r="F171" s="5"/>
    </row>
    <row r="172" spans="1:8" ht="30" x14ac:dyDescent="0.25">
      <c r="A172" s="3">
        <v>2</v>
      </c>
      <c r="B172" s="3">
        <v>1</v>
      </c>
      <c r="C172" s="34" t="s">
        <v>122</v>
      </c>
      <c r="D172" s="2" t="s">
        <v>45</v>
      </c>
      <c r="E172" s="35">
        <f>E173</f>
        <v>5000000</v>
      </c>
      <c r="F172" s="3" t="s">
        <v>6</v>
      </c>
    </row>
    <row r="173" spans="1:8" x14ac:dyDescent="0.25">
      <c r="A173" s="3"/>
      <c r="B173" s="3"/>
      <c r="C173" s="34"/>
      <c r="D173" s="207" t="s">
        <v>598</v>
      </c>
      <c r="E173" s="40">
        <v>5000000</v>
      </c>
      <c r="F173" s="227" t="s">
        <v>6</v>
      </c>
      <c r="G173" t="s">
        <v>3</v>
      </c>
    </row>
    <row r="174" spans="1:8" hidden="1" x14ac:dyDescent="0.25">
      <c r="A174" s="3"/>
      <c r="B174" s="3"/>
      <c r="C174" s="34"/>
      <c r="D174" s="43" t="s">
        <v>180</v>
      </c>
      <c r="E174" s="37">
        <v>0</v>
      </c>
      <c r="F174" s="36"/>
    </row>
    <row r="175" spans="1:8" hidden="1" x14ac:dyDescent="0.25">
      <c r="A175" s="3"/>
      <c r="B175" s="3"/>
      <c r="C175" s="34"/>
      <c r="D175" s="43" t="s">
        <v>181</v>
      </c>
      <c r="E175" s="37">
        <v>0</v>
      </c>
      <c r="F175" s="36"/>
    </row>
    <row r="176" spans="1:8" s="185" customFormat="1" ht="45" x14ac:dyDescent="0.25">
      <c r="A176" s="3">
        <v>2</v>
      </c>
      <c r="B176" s="3">
        <v>1</v>
      </c>
      <c r="C176" s="34" t="s">
        <v>125</v>
      </c>
      <c r="D176" s="2" t="s">
        <v>182</v>
      </c>
      <c r="E176" s="35">
        <f>SUM(E177:E182)</f>
        <v>2000000</v>
      </c>
      <c r="F176" s="3" t="s">
        <v>6</v>
      </c>
    </row>
    <row r="177" spans="1:9" x14ac:dyDescent="0.25">
      <c r="A177" s="3"/>
      <c r="B177" s="3"/>
      <c r="C177" s="34"/>
      <c r="D177" s="43" t="s">
        <v>562</v>
      </c>
      <c r="E177" s="40">
        <v>2000000</v>
      </c>
      <c r="F177" s="227" t="s">
        <v>6</v>
      </c>
      <c r="G177" t="s">
        <v>3</v>
      </c>
    </row>
    <row r="178" spans="1:9" hidden="1" x14ac:dyDescent="0.25">
      <c r="A178" s="3"/>
      <c r="B178" s="3"/>
      <c r="C178" s="34"/>
      <c r="D178" s="43" t="s">
        <v>184</v>
      </c>
      <c r="E178" s="37">
        <v>0</v>
      </c>
      <c r="F178" s="36"/>
    </row>
    <row r="179" spans="1:9" hidden="1" x14ac:dyDescent="0.25">
      <c r="A179" s="3"/>
      <c r="B179" s="3"/>
      <c r="C179" s="34"/>
      <c r="D179" s="43" t="s">
        <v>185</v>
      </c>
      <c r="E179" s="37"/>
      <c r="F179" s="36"/>
    </row>
    <row r="180" spans="1:9" hidden="1" x14ac:dyDescent="0.25">
      <c r="A180" s="3"/>
      <c r="B180" s="3"/>
      <c r="C180" s="34"/>
      <c r="D180" s="43" t="s">
        <v>186</v>
      </c>
      <c r="E180" s="37"/>
      <c r="F180" s="36"/>
    </row>
    <row r="181" spans="1:9" hidden="1" x14ac:dyDescent="0.25">
      <c r="A181" s="3"/>
      <c r="B181" s="3"/>
      <c r="C181" s="34"/>
      <c r="D181" s="43" t="s">
        <v>187</v>
      </c>
      <c r="E181" s="37"/>
      <c r="F181" s="36"/>
    </row>
    <row r="182" spans="1:9" hidden="1" x14ac:dyDescent="0.25">
      <c r="A182" s="3"/>
      <c r="B182" s="3"/>
      <c r="C182" s="34"/>
      <c r="D182" s="43" t="s">
        <v>408</v>
      </c>
      <c r="E182" s="37">
        <v>0</v>
      </c>
      <c r="F182" s="76"/>
    </row>
    <row r="183" spans="1:9" s="185" customFormat="1" ht="30" hidden="1" x14ac:dyDescent="0.25">
      <c r="A183" s="3">
        <v>2</v>
      </c>
      <c r="B183" s="3">
        <v>1</v>
      </c>
      <c r="C183" s="34" t="s">
        <v>159</v>
      </c>
      <c r="D183" s="2" t="s">
        <v>188</v>
      </c>
      <c r="E183" s="35">
        <f>SUM(E184:E185)</f>
        <v>0</v>
      </c>
      <c r="F183" s="3" t="s">
        <v>3</v>
      </c>
    </row>
    <row r="184" spans="1:9" hidden="1" x14ac:dyDescent="0.25">
      <c r="A184" s="3"/>
      <c r="B184" s="3"/>
      <c r="C184" s="34"/>
      <c r="D184" s="43" t="s">
        <v>189</v>
      </c>
      <c r="E184" s="37">
        <v>0</v>
      </c>
      <c r="F184" s="3"/>
    </row>
    <row r="185" spans="1:9" hidden="1" x14ac:dyDescent="0.25">
      <c r="A185" s="3"/>
      <c r="B185" s="3"/>
      <c r="C185" s="34"/>
      <c r="D185" s="43" t="s">
        <v>190</v>
      </c>
      <c r="E185" s="37">
        <v>0</v>
      </c>
      <c r="F185" s="3"/>
    </row>
    <row r="186" spans="1:9" x14ac:dyDescent="0.25">
      <c r="A186" s="5">
        <v>2</v>
      </c>
      <c r="B186" s="5">
        <v>1</v>
      </c>
      <c r="C186" s="53" t="s">
        <v>160</v>
      </c>
      <c r="D186" s="12" t="s">
        <v>46</v>
      </c>
      <c r="E186" s="54">
        <f>E187+E189+E190+E191+E192</f>
        <v>44500000</v>
      </c>
      <c r="F186" s="5" t="s">
        <v>3</v>
      </c>
    </row>
    <row r="187" spans="1:9" x14ac:dyDescent="0.25">
      <c r="A187" s="5"/>
      <c r="B187" s="5"/>
      <c r="C187" s="53"/>
      <c r="D187" s="71" t="s">
        <v>191</v>
      </c>
      <c r="E187" s="50">
        <v>36000000</v>
      </c>
      <c r="F187" s="5"/>
      <c r="H187" s="173">
        <f>E187/12</f>
        <v>3000000</v>
      </c>
      <c r="I187" s="173">
        <f>H187/2</f>
        <v>1500000</v>
      </c>
    </row>
    <row r="188" spans="1:9" hidden="1" x14ac:dyDescent="0.25">
      <c r="A188" s="5"/>
      <c r="B188" s="5"/>
      <c r="C188" s="53"/>
      <c r="D188" s="71" t="s">
        <v>192</v>
      </c>
      <c r="E188" s="50">
        <v>0</v>
      </c>
      <c r="F188" s="5"/>
    </row>
    <row r="189" spans="1:9" x14ac:dyDescent="0.25">
      <c r="A189" s="5"/>
      <c r="B189" s="5"/>
      <c r="C189" s="53"/>
      <c r="D189" s="71" t="s">
        <v>149</v>
      </c>
      <c r="E189" s="50">
        <v>2000000</v>
      </c>
      <c r="F189" s="5"/>
    </row>
    <row r="190" spans="1:9" ht="12.75" customHeight="1" x14ac:dyDescent="0.25">
      <c r="A190" s="5"/>
      <c r="B190" s="5"/>
      <c r="C190" s="53"/>
      <c r="D190" s="71" t="s">
        <v>193</v>
      </c>
      <c r="E190" s="50">
        <v>500000</v>
      </c>
      <c r="F190" s="5"/>
    </row>
    <row r="191" spans="1:9" x14ac:dyDescent="0.25">
      <c r="A191" s="5"/>
      <c r="B191" s="5"/>
      <c r="C191" s="53"/>
      <c r="D191" s="71" t="s">
        <v>194</v>
      </c>
      <c r="E191" s="50">
        <v>3000000</v>
      </c>
      <c r="F191" s="5"/>
      <c r="H191" s="173">
        <f>E191/12</f>
        <v>250000</v>
      </c>
    </row>
    <row r="192" spans="1:9" x14ac:dyDescent="0.25">
      <c r="A192" s="5"/>
      <c r="B192" s="5"/>
      <c r="C192" s="53"/>
      <c r="D192" s="71" t="s">
        <v>195</v>
      </c>
      <c r="E192" s="50">
        <v>3000000</v>
      </c>
      <c r="F192" s="5"/>
      <c r="H192" s="173">
        <f>E192/12</f>
        <v>250000</v>
      </c>
    </row>
    <row r="193" spans="1:8" x14ac:dyDescent="0.25">
      <c r="A193" s="5">
        <v>2</v>
      </c>
      <c r="B193" s="5">
        <v>1</v>
      </c>
      <c r="C193" s="53" t="s">
        <v>196</v>
      </c>
      <c r="D193" s="12" t="s">
        <v>197</v>
      </c>
      <c r="E193" s="54">
        <f>SUM(E194:E197)</f>
        <v>12000000</v>
      </c>
      <c r="F193" s="5" t="s">
        <v>3</v>
      </c>
    </row>
    <row r="194" spans="1:8" x14ac:dyDescent="0.25">
      <c r="A194" s="5"/>
      <c r="B194" s="5"/>
      <c r="C194" s="53"/>
      <c r="D194" s="71" t="s">
        <v>548</v>
      </c>
      <c r="E194" s="51">
        <v>4000000</v>
      </c>
      <c r="F194" s="42"/>
    </row>
    <row r="195" spans="1:8" x14ac:dyDescent="0.25">
      <c r="A195" s="5"/>
      <c r="B195" s="5"/>
      <c r="C195" s="53"/>
      <c r="D195" s="71" t="s">
        <v>608</v>
      </c>
      <c r="E195" s="51">
        <v>2500000</v>
      </c>
      <c r="F195" s="42"/>
    </row>
    <row r="196" spans="1:8" x14ac:dyDescent="0.25">
      <c r="A196" s="5"/>
      <c r="B196" s="5"/>
      <c r="C196" s="53"/>
      <c r="D196" s="71" t="s">
        <v>549</v>
      </c>
      <c r="E196" s="51">
        <v>2500000</v>
      </c>
      <c r="F196" s="42"/>
    </row>
    <row r="197" spans="1:8" x14ac:dyDescent="0.25">
      <c r="A197" s="5"/>
      <c r="B197" s="5"/>
      <c r="C197" s="53"/>
      <c r="D197" s="71" t="s">
        <v>550</v>
      </c>
      <c r="E197" s="51">
        <v>3000000</v>
      </c>
      <c r="F197" s="42"/>
    </row>
    <row r="198" spans="1:8" hidden="1" x14ac:dyDescent="0.25">
      <c r="A198" s="5"/>
      <c r="B198" s="5"/>
      <c r="C198" s="53"/>
      <c r="D198" s="71"/>
      <c r="E198" s="54"/>
      <c r="F198" s="5"/>
    </row>
    <row r="199" spans="1:8" hidden="1" x14ac:dyDescent="0.25">
      <c r="A199" s="5"/>
      <c r="B199" s="5"/>
      <c r="C199" s="53"/>
      <c r="D199" s="71" t="s">
        <v>198</v>
      </c>
      <c r="E199" s="50">
        <v>0</v>
      </c>
      <c r="F199" s="5"/>
    </row>
    <row r="200" spans="1:8" x14ac:dyDescent="0.25">
      <c r="A200" s="5">
        <v>2</v>
      </c>
      <c r="B200" s="5">
        <v>1</v>
      </c>
      <c r="C200" s="53" t="s">
        <v>199</v>
      </c>
      <c r="D200" s="12" t="s">
        <v>200</v>
      </c>
      <c r="E200" s="54">
        <f>E201</f>
        <v>5000000</v>
      </c>
      <c r="F200" s="5" t="s">
        <v>0</v>
      </c>
    </row>
    <row r="201" spans="1:8" x14ac:dyDescent="0.25">
      <c r="A201" s="5"/>
      <c r="B201" s="5"/>
      <c r="C201" s="53"/>
      <c r="D201" s="71" t="s">
        <v>201</v>
      </c>
      <c r="E201" s="51">
        <v>5000000</v>
      </c>
      <c r="F201" s="195" t="s">
        <v>0</v>
      </c>
      <c r="G201" t="s">
        <v>3</v>
      </c>
      <c r="H201" s="173">
        <f>E201/500000</f>
        <v>10</v>
      </c>
    </row>
    <row r="202" spans="1:8" x14ac:dyDescent="0.25">
      <c r="A202" s="8">
        <v>2</v>
      </c>
      <c r="B202" s="8">
        <v>2</v>
      </c>
      <c r="C202" s="8"/>
      <c r="D202" s="6" t="s">
        <v>47</v>
      </c>
      <c r="E202" s="57">
        <f>E203+E207+E214+E217+E249+E251+E253</f>
        <v>185600000</v>
      </c>
      <c r="F202" s="8" t="s">
        <v>3</v>
      </c>
    </row>
    <row r="203" spans="1:8" x14ac:dyDescent="0.25">
      <c r="A203" s="5">
        <v>2</v>
      </c>
      <c r="B203" s="5">
        <v>2</v>
      </c>
      <c r="C203" s="53" t="s">
        <v>85</v>
      </c>
      <c r="D203" s="12" t="s">
        <v>202</v>
      </c>
      <c r="E203" s="54">
        <f>SUM(E204:E206)</f>
        <v>24600000</v>
      </c>
      <c r="F203" s="5" t="s">
        <v>604</v>
      </c>
    </row>
    <row r="204" spans="1:8" x14ac:dyDescent="0.25">
      <c r="A204" s="46"/>
      <c r="B204" s="46"/>
      <c r="C204" s="46"/>
      <c r="D204" s="222" t="s">
        <v>599</v>
      </c>
      <c r="E204" s="51">
        <v>3000000</v>
      </c>
      <c r="F204" s="52" t="s">
        <v>6</v>
      </c>
      <c r="G204" t="s">
        <v>3</v>
      </c>
    </row>
    <row r="205" spans="1:8" hidden="1" x14ac:dyDescent="0.25">
      <c r="A205" s="46"/>
      <c r="B205" s="46"/>
      <c r="C205" s="46"/>
      <c r="D205" s="71" t="s">
        <v>204</v>
      </c>
      <c r="E205" s="51">
        <v>0</v>
      </c>
      <c r="F205" s="42"/>
    </row>
    <row r="206" spans="1:8" x14ac:dyDescent="0.25">
      <c r="A206" s="46"/>
      <c r="B206" s="46"/>
      <c r="C206" s="46"/>
      <c r="D206" s="71" t="s">
        <v>205</v>
      </c>
      <c r="E206" s="50">
        <f>1800000*12</f>
        <v>21600000</v>
      </c>
      <c r="F206" s="42" t="s">
        <v>3</v>
      </c>
      <c r="H206" s="173">
        <f>E206/12</f>
        <v>1800000</v>
      </c>
    </row>
    <row r="207" spans="1:8" x14ac:dyDescent="0.25">
      <c r="A207" s="5">
        <v>2</v>
      </c>
      <c r="B207" s="5">
        <v>2</v>
      </c>
      <c r="C207" s="53" t="s">
        <v>89</v>
      </c>
      <c r="D207" s="12" t="s">
        <v>48</v>
      </c>
      <c r="E207" s="54">
        <f>SUM(E208:E213)</f>
        <v>129600000</v>
      </c>
      <c r="F207" s="5" t="s">
        <v>3</v>
      </c>
    </row>
    <row r="208" spans="1:8" x14ac:dyDescent="0.25">
      <c r="A208" s="46"/>
      <c r="B208" s="46"/>
      <c r="C208" s="46"/>
      <c r="D208" s="71" t="s">
        <v>206</v>
      </c>
      <c r="E208" s="50">
        <v>40000000</v>
      </c>
      <c r="F208" s="42" t="s">
        <v>3</v>
      </c>
      <c r="H208" s="173">
        <f>E208/10000</f>
        <v>4000</v>
      </c>
    </row>
    <row r="209" spans="1:8" x14ac:dyDescent="0.25">
      <c r="A209" s="46"/>
      <c r="B209" s="46"/>
      <c r="C209" s="46"/>
      <c r="D209" s="71" t="s">
        <v>402</v>
      </c>
      <c r="E209" s="50">
        <v>12000000</v>
      </c>
      <c r="F209" s="42" t="s">
        <v>3</v>
      </c>
      <c r="H209">
        <f>200000*5*12</f>
        <v>12000000</v>
      </c>
    </row>
    <row r="210" spans="1:8" hidden="1" x14ac:dyDescent="0.25">
      <c r="A210" s="97"/>
      <c r="B210" s="97"/>
      <c r="C210" s="97"/>
      <c r="D210" s="43" t="s">
        <v>207</v>
      </c>
      <c r="E210" s="37">
        <v>0</v>
      </c>
      <c r="F210" s="36" t="s">
        <v>3</v>
      </c>
    </row>
    <row r="211" spans="1:8" x14ac:dyDescent="0.25">
      <c r="A211" s="46"/>
      <c r="B211" s="46"/>
      <c r="C211" s="46"/>
      <c r="D211" s="98" t="s">
        <v>209</v>
      </c>
      <c r="E211" s="50">
        <v>2000000</v>
      </c>
      <c r="F211" s="42" t="s">
        <v>3</v>
      </c>
      <c r="H211" s="173">
        <f>E207-E208-E209</f>
        <v>77600000</v>
      </c>
    </row>
    <row r="212" spans="1:8" x14ac:dyDescent="0.25">
      <c r="A212" s="46"/>
      <c r="B212" s="46"/>
      <c r="C212" s="46"/>
      <c r="D212" s="98" t="s">
        <v>210</v>
      </c>
      <c r="E212" s="50">
        <v>9600000</v>
      </c>
      <c r="F212" s="42" t="s">
        <v>3</v>
      </c>
    </row>
    <row r="213" spans="1:8" ht="16.5" customHeight="1" x14ac:dyDescent="0.25">
      <c r="A213" s="46"/>
      <c r="B213" s="46"/>
      <c r="C213" s="46"/>
      <c r="D213" s="71" t="s">
        <v>211</v>
      </c>
      <c r="E213" s="50">
        <f>110000*50*12</f>
        <v>66000000</v>
      </c>
      <c r="F213" s="42" t="s">
        <v>3</v>
      </c>
      <c r="H213" s="173">
        <f>E213/12/50</f>
        <v>110000</v>
      </c>
    </row>
    <row r="214" spans="1:8" x14ac:dyDescent="0.25">
      <c r="A214" s="5">
        <v>2</v>
      </c>
      <c r="B214" s="5">
        <v>2</v>
      </c>
      <c r="C214" s="53" t="s">
        <v>98</v>
      </c>
      <c r="D214" s="12" t="s">
        <v>49</v>
      </c>
      <c r="E214" s="54">
        <f>SUM(E215:E216)</f>
        <v>2000000</v>
      </c>
      <c r="F214" s="5" t="s">
        <v>2</v>
      </c>
    </row>
    <row r="215" spans="1:8" x14ac:dyDescent="0.25">
      <c r="A215" s="5"/>
      <c r="B215" s="5"/>
      <c r="C215" s="53"/>
      <c r="D215" s="71" t="s">
        <v>606</v>
      </c>
      <c r="E215" s="51">
        <v>2000000</v>
      </c>
      <c r="F215" s="52" t="s">
        <v>2</v>
      </c>
      <c r="G215" t="s">
        <v>3</v>
      </c>
      <c r="H215" s="173">
        <f>E215/40</f>
        <v>50000</v>
      </c>
    </row>
    <row r="216" spans="1:8" x14ac:dyDescent="0.25">
      <c r="A216" s="5"/>
      <c r="B216" s="5"/>
      <c r="C216" s="53"/>
      <c r="D216" s="71" t="s">
        <v>213</v>
      </c>
      <c r="E216" s="51">
        <v>0</v>
      </c>
      <c r="F216" s="52" t="s">
        <v>2</v>
      </c>
      <c r="G216" t="s">
        <v>3</v>
      </c>
    </row>
    <row r="217" spans="1:8" x14ac:dyDescent="0.25">
      <c r="A217" s="5">
        <v>2</v>
      </c>
      <c r="B217" s="5">
        <v>2</v>
      </c>
      <c r="C217" s="53" t="s">
        <v>109</v>
      </c>
      <c r="D217" s="12" t="s">
        <v>50</v>
      </c>
      <c r="E217" s="54">
        <f>E218+E224+E228+E229+E230+E231+E232+E237+E240+E244+E245+E246</f>
        <v>6600000</v>
      </c>
      <c r="F217" s="5" t="s">
        <v>3</v>
      </c>
      <c r="H217">
        <f>50*12</f>
        <v>600</v>
      </c>
    </row>
    <row r="218" spans="1:8" ht="30" x14ac:dyDescent="0.25">
      <c r="A218" s="5"/>
      <c r="B218" s="3"/>
      <c r="C218" s="34"/>
      <c r="D218" s="99" t="s">
        <v>554</v>
      </c>
      <c r="E218" s="100">
        <f>SUM(E219:E223)</f>
        <v>6600000</v>
      </c>
      <c r="F218" s="76" t="s">
        <v>3</v>
      </c>
    </row>
    <row r="219" spans="1:8" x14ac:dyDescent="0.25">
      <c r="A219" s="5"/>
      <c r="B219" s="3"/>
      <c r="C219" s="34"/>
      <c r="D219" s="101" t="s">
        <v>215</v>
      </c>
      <c r="E219" s="37">
        <v>1000000</v>
      </c>
      <c r="F219" s="36" t="s">
        <v>3</v>
      </c>
    </row>
    <row r="220" spans="1:8" x14ac:dyDescent="0.25">
      <c r="A220" s="5"/>
      <c r="B220" s="3"/>
      <c r="C220" s="34"/>
      <c r="D220" s="101" t="s">
        <v>551</v>
      </c>
      <c r="E220" s="37">
        <v>1000000</v>
      </c>
      <c r="F220" s="36" t="s">
        <v>3</v>
      </c>
    </row>
    <row r="221" spans="1:8" x14ac:dyDescent="0.25">
      <c r="A221" s="5"/>
      <c r="B221" s="3"/>
      <c r="C221" s="34"/>
      <c r="D221" s="101" t="s">
        <v>552</v>
      </c>
      <c r="E221" s="37">
        <v>1600000</v>
      </c>
      <c r="F221" s="36"/>
    </row>
    <row r="222" spans="1:8" x14ac:dyDescent="0.25">
      <c r="A222" s="5"/>
      <c r="B222" s="3"/>
      <c r="C222" s="34"/>
      <c r="D222" s="101" t="s">
        <v>553</v>
      </c>
      <c r="E222" s="37">
        <v>3000000</v>
      </c>
      <c r="F222" s="36"/>
    </row>
    <row r="223" spans="1:8" x14ac:dyDescent="0.25">
      <c r="A223" s="5"/>
      <c r="B223" s="3"/>
      <c r="C223" s="34"/>
      <c r="D223" s="101" t="s">
        <v>217</v>
      </c>
      <c r="E223" s="40">
        <v>0</v>
      </c>
      <c r="F223" s="36" t="s">
        <v>3</v>
      </c>
    </row>
    <row r="224" spans="1:8" hidden="1" x14ac:dyDescent="0.25">
      <c r="A224" s="5"/>
      <c r="B224" s="3"/>
      <c r="C224" s="34"/>
      <c r="D224" s="102" t="s">
        <v>218</v>
      </c>
      <c r="E224" s="100"/>
      <c r="F224" s="76" t="s">
        <v>3</v>
      </c>
    </row>
    <row r="225" spans="1:6" hidden="1" x14ac:dyDescent="0.25">
      <c r="A225" s="5"/>
      <c r="B225" s="3"/>
      <c r="C225" s="34"/>
      <c r="D225" s="101" t="s">
        <v>219</v>
      </c>
      <c r="E225" s="37"/>
      <c r="F225" s="36" t="s">
        <v>3</v>
      </c>
    </row>
    <row r="226" spans="1:6" hidden="1" x14ac:dyDescent="0.25">
      <c r="A226" s="5"/>
      <c r="B226" s="3"/>
      <c r="C226" s="34"/>
      <c r="D226" s="101" t="s">
        <v>220</v>
      </c>
      <c r="E226" s="37"/>
      <c r="F226" s="36" t="s">
        <v>3</v>
      </c>
    </row>
    <row r="227" spans="1:6" hidden="1" x14ac:dyDescent="0.25">
      <c r="A227" s="5"/>
      <c r="B227" s="3"/>
      <c r="C227" s="34"/>
      <c r="D227" s="101" t="s">
        <v>221</v>
      </c>
      <c r="E227" s="37"/>
      <c r="F227" s="36" t="s">
        <v>3</v>
      </c>
    </row>
    <row r="228" spans="1:6" hidden="1" x14ac:dyDescent="0.25">
      <c r="A228" s="5"/>
      <c r="B228" s="3"/>
      <c r="C228" s="34"/>
      <c r="D228" s="102" t="s">
        <v>222</v>
      </c>
      <c r="E228" s="100"/>
      <c r="F228" s="76" t="s">
        <v>3</v>
      </c>
    </row>
    <row r="229" spans="1:6" hidden="1" x14ac:dyDescent="0.25">
      <c r="A229" s="5"/>
      <c r="B229" s="3"/>
      <c r="C229" s="34"/>
      <c r="D229" s="102" t="s">
        <v>223</v>
      </c>
      <c r="E229" s="100"/>
      <c r="F229" s="76" t="s">
        <v>3</v>
      </c>
    </row>
    <row r="230" spans="1:6" hidden="1" x14ac:dyDescent="0.25">
      <c r="A230" s="5"/>
      <c r="B230" s="3"/>
      <c r="C230" s="34"/>
      <c r="D230" s="102" t="s">
        <v>224</v>
      </c>
      <c r="E230" s="100"/>
      <c r="F230" s="76" t="s">
        <v>3</v>
      </c>
    </row>
    <row r="231" spans="1:6" hidden="1" x14ac:dyDescent="0.25">
      <c r="A231" s="5"/>
      <c r="B231" s="3"/>
      <c r="C231" s="34"/>
      <c r="D231" s="102" t="s">
        <v>225</v>
      </c>
      <c r="E231" s="100"/>
      <c r="F231" s="76" t="s">
        <v>3</v>
      </c>
    </row>
    <row r="232" spans="1:6" hidden="1" x14ac:dyDescent="0.25">
      <c r="A232" s="5"/>
      <c r="B232" s="3"/>
      <c r="C232" s="34"/>
      <c r="D232" s="102" t="s">
        <v>226</v>
      </c>
      <c r="E232" s="100"/>
      <c r="F232" s="76" t="s">
        <v>3</v>
      </c>
    </row>
    <row r="233" spans="1:6" hidden="1" x14ac:dyDescent="0.25">
      <c r="A233" s="5"/>
      <c r="B233" s="3"/>
      <c r="C233" s="34"/>
      <c r="D233" s="101" t="s">
        <v>227</v>
      </c>
      <c r="E233" s="37"/>
      <c r="F233" s="36" t="s">
        <v>3</v>
      </c>
    </row>
    <row r="234" spans="1:6" hidden="1" x14ac:dyDescent="0.25">
      <c r="A234" s="5"/>
      <c r="B234" s="3"/>
      <c r="C234" s="34"/>
      <c r="D234" s="101" t="s">
        <v>228</v>
      </c>
      <c r="E234" s="37"/>
      <c r="F234" s="36" t="s">
        <v>3</v>
      </c>
    </row>
    <row r="235" spans="1:6" hidden="1" x14ac:dyDescent="0.25">
      <c r="A235" s="5"/>
      <c r="B235" s="3"/>
      <c r="C235" s="34"/>
      <c r="D235" s="101" t="s">
        <v>229</v>
      </c>
      <c r="E235" s="37"/>
      <c r="F235" s="36" t="s">
        <v>3</v>
      </c>
    </row>
    <row r="236" spans="1:6" hidden="1" x14ac:dyDescent="0.25">
      <c r="A236" s="53"/>
      <c r="B236" s="3"/>
      <c r="C236" s="34"/>
      <c r="D236" s="101" t="s">
        <v>230</v>
      </c>
      <c r="E236" s="37"/>
      <c r="F236" s="36" t="s">
        <v>3</v>
      </c>
    </row>
    <row r="237" spans="1:6" ht="30" hidden="1" x14ac:dyDescent="0.25">
      <c r="A237" s="53"/>
      <c r="B237" s="3"/>
      <c r="C237" s="34"/>
      <c r="D237" s="102" t="s">
        <v>231</v>
      </c>
      <c r="E237" s="100"/>
      <c r="F237" s="76" t="s">
        <v>3</v>
      </c>
    </row>
    <row r="238" spans="1:6" hidden="1" x14ac:dyDescent="0.25">
      <c r="A238" s="53"/>
      <c r="B238" s="3"/>
      <c r="C238" s="34"/>
      <c r="D238" s="101" t="s">
        <v>232</v>
      </c>
      <c r="E238" s="37"/>
      <c r="F238" s="36" t="s">
        <v>3</v>
      </c>
    </row>
    <row r="239" spans="1:6" hidden="1" x14ac:dyDescent="0.25">
      <c r="A239" s="53"/>
      <c r="B239" s="3"/>
      <c r="C239" s="34"/>
      <c r="D239" s="101" t="s">
        <v>233</v>
      </c>
      <c r="E239" s="37"/>
      <c r="F239" s="36" t="s">
        <v>3</v>
      </c>
    </row>
    <row r="240" spans="1:6" hidden="1" x14ac:dyDescent="0.25">
      <c r="A240" s="5"/>
      <c r="B240" s="3"/>
      <c r="C240" s="34"/>
      <c r="D240" s="99" t="s">
        <v>234</v>
      </c>
      <c r="E240" s="100"/>
      <c r="F240" s="76" t="s">
        <v>3</v>
      </c>
    </row>
    <row r="241" spans="1:9" hidden="1" x14ac:dyDescent="0.25">
      <c r="A241" s="53"/>
      <c r="B241" s="3"/>
      <c r="C241" s="34"/>
      <c r="D241" s="101" t="s">
        <v>209</v>
      </c>
      <c r="E241" s="37"/>
      <c r="F241" s="36" t="s">
        <v>3</v>
      </c>
    </row>
    <row r="242" spans="1:9" hidden="1" x14ac:dyDescent="0.25">
      <c r="A242" s="53"/>
      <c r="B242" s="3"/>
      <c r="C242" s="34"/>
      <c r="D242" s="101" t="s">
        <v>235</v>
      </c>
      <c r="E242" s="37"/>
      <c r="F242" s="36" t="s">
        <v>3</v>
      </c>
    </row>
    <row r="243" spans="1:9" hidden="1" x14ac:dyDescent="0.25">
      <c r="A243" s="5"/>
      <c r="B243" s="3"/>
      <c r="C243" s="34"/>
      <c r="D243" s="101" t="s">
        <v>236</v>
      </c>
      <c r="E243" s="37"/>
      <c r="F243" s="36" t="s">
        <v>3</v>
      </c>
    </row>
    <row r="244" spans="1:9" ht="30" hidden="1" x14ac:dyDescent="0.25">
      <c r="A244" s="5"/>
      <c r="B244" s="3"/>
      <c r="C244" s="34"/>
      <c r="D244" s="102" t="s">
        <v>237</v>
      </c>
      <c r="E244" s="100"/>
      <c r="F244" s="76" t="s">
        <v>3</v>
      </c>
    </row>
    <row r="245" spans="1:9" ht="30" hidden="1" x14ac:dyDescent="0.25">
      <c r="A245" s="5"/>
      <c r="B245" s="3"/>
      <c r="C245" s="34"/>
      <c r="D245" s="102" t="s">
        <v>238</v>
      </c>
      <c r="E245" s="100"/>
      <c r="F245" s="76" t="s">
        <v>3</v>
      </c>
    </row>
    <row r="246" spans="1:9" hidden="1" x14ac:dyDescent="0.25">
      <c r="A246" s="5"/>
      <c r="B246" s="3"/>
      <c r="C246" s="34"/>
      <c r="D246" s="99" t="s">
        <v>239</v>
      </c>
      <c r="E246" s="100">
        <f>SUM(E247:E248)</f>
        <v>0</v>
      </c>
      <c r="F246" s="76" t="s">
        <v>3</v>
      </c>
    </row>
    <row r="247" spans="1:9" hidden="1" x14ac:dyDescent="0.25">
      <c r="A247" s="5"/>
      <c r="B247" s="5"/>
      <c r="C247" s="53"/>
      <c r="D247" s="71" t="s">
        <v>212</v>
      </c>
      <c r="E247" s="50">
        <v>0</v>
      </c>
      <c r="F247" s="42" t="s">
        <v>3</v>
      </c>
    </row>
    <row r="248" spans="1:9" hidden="1" x14ac:dyDescent="0.25">
      <c r="A248" s="5"/>
      <c r="B248" s="5"/>
      <c r="C248" s="53"/>
      <c r="D248" s="71" t="s">
        <v>210</v>
      </c>
      <c r="E248" s="50">
        <v>0</v>
      </c>
      <c r="F248" s="42" t="s">
        <v>3</v>
      </c>
    </row>
    <row r="249" spans="1:9" x14ac:dyDescent="0.25">
      <c r="A249" s="5">
        <v>2</v>
      </c>
      <c r="B249" s="5">
        <v>2</v>
      </c>
      <c r="C249" s="53" t="s">
        <v>125</v>
      </c>
      <c r="D249" s="12" t="s">
        <v>51</v>
      </c>
      <c r="E249" s="54">
        <f>E250</f>
        <v>19800000</v>
      </c>
      <c r="F249" s="5" t="s">
        <v>3</v>
      </c>
    </row>
    <row r="250" spans="1:9" x14ac:dyDescent="0.25">
      <c r="A250" s="46"/>
      <c r="B250" s="46"/>
      <c r="C250" s="46"/>
      <c r="D250" s="71" t="s">
        <v>240</v>
      </c>
      <c r="E250" s="50">
        <f>110000*15*12</f>
        <v>19800000</v>
      </c>
      <c r="F250" s="42" t="s">
        <v>3</v>
      </c>
      <c r="H250" s="173">
        <f>E250/15/12</f>
        <v>110000</v>
      </c>
      <c r="I250" s="173">
        <f>H250*12</f>
        <v>1320000</v>
      </c>
    </row>
    <row r="251" spans="1:9" x14ac:dyDescent="0.25">
      <c r="A251" s="5">
        <v>2</v>
      </c>
      <c r="B251" s="5">
        <v>2</v>
      </c>
      <c r="C251" s="53" t="s">
        <v>160</v>
      </c>
      <c r="D251" s="12" t="s">
        <v>241</v>
      </c>
      <c r="E251" s="54">
        <f>E252</f>
        <v>1000000</v>
      </c>
      <c r="F251" s="5" t="s">
        <v>9</v>
      </c>
      <c r="I251" s="173">
        <f>I250*6%</f>
        <v>79200</v>
      </c>
    </row>
    <row r="252" spans="1:9" x14ac:dyDescent="0.25">
      <c r="A252" s="5"/>
      <c r="B252" s="5"/>
      <c r="C252" s="53"/>
      <c r="D252" s="98" t="s">
        <v>208</v>
      </c>
      <c r="E252" s="51">
        <v>1000000</v>
      </c>
      <c r="F252" s="52" t="s">
        <v>9</v>
      </c>
      <c r="G252" t="s">
        <v>3</v>
      </c>
      <c r="H252">
        <f>15*12</f>
        <v>180</v>
      </c>
    </row>
    <row r="253" spans="1:9" s="185" customFormat="1" ht="30" x14ac:dyDescent="0.25">
      <c r="A253" s="3">
        <v>2</v>
      </c>
      <c r="B253" s="3">
        <v>2</v>
      </c>
      <c r="C253" s="34" t="s">
        <v>196</v>
      </c>
      <c r="D253" s="2" t="s">
        <v>242</v>
      </c>
      <c r="E253" s="35">
        <f>E254+E257</f>
        <v>2000000</v>
      </c>
      <c r="F253" s="3" t="s">
        <v>9</v>
      </c>
    </row>
    <row r="254" spans="1:9" x14ac:dyDescent="0.25">
      <c r="A254" s="3"/>
      <c r="B254" s="3"/>
      <c r="C254" s="34"/>
      <c r="D254" s="43" t="s">
        <v>243</v>
      </c>
      <c r="E254" s="40">
        <v>2000000</v>
      </c>
      <c r="F254" s="227" t="s">
        <v>9</v>
      </c>
      <c r="G254" t="s">
        <v>3</v>
      </c>
    </row>
    <row r="255" spans="1:9" hidden="1" x14ac:dyDescent="0.25">
      <c r="A255" s="3"/>
      <c r="B255" s="3"/>
      <c r="C255" s="34"/>
      <c r="D255" s="98" t="s">
        <v>412</v>
      </c>
      <c r="E255" s="50">
        <v>0</v>
      </c>
      <c r="F255" s="42"/>
    </row>
    <row r="256" spans="1:9" hidden="1" x14ac:dyDescent="0.25">
      <c r="A256" s="3"/>
      <c r="B256" s="3"/>
      <c r="C256" s="34"/>
      <c r="D256" s="98" t="s">
        <v>411</v>
      </c>
      <c r="E256" s="50">
        <v>0</v>
      </c>
      <c r="F256" s="42"/>
    </row>
    <row r="257" spans="1:9" hidden="1" x14ac:dyDescent="0.25">
      <c r="A257" s="5"/>
      <c r="B257" s="5"/>
      <c r="C257" s="53"/>
      <c r="D257" s="43" t="s">
        <v>413</v>
      </c>
      <c r="E257" s="37">
        <v>0</v>
      </c>
      <c r="F257" s="42" t="s">
        <v>3</v>
      </c>
    </row>
    <row r="258" spans="1:9" x14ac:dyDescent="0.25">
      <c r="A258" s="8">
        <v>2</v>
      </c>
      <c r="B258" s="8">
        <v>3</v>
      </c>
      <c r="C258" s="8"/>
      <c r="D258" s="6" t="s">
        <v>244</v>
      </c>
      <c r="E258" s="57">
        <f>E259+E261+E262+E264+E266+E273+E277+E280+E284+E286</f>
        <v>333630000</v>
      </c>
      <c r="F258" s="8"/>
    </row>
    <row r="259" spans="1:9" s="185" customFormat="1" hidden="1" x14ac:dyDescent="0.25">
      <c r="A259" s="89">
        <v>2</v>
      </c>
      <c r="B259" s="89">
        <v>3</v>
      </c>
      <c r="C259" s="90" t="s">
        <v>85</v>
      </c>
      <c r="D259" s="17" t="s">
        <v>245</v>
      </c>
      <c r="E259" s="91">
        <f>E260</f>
        <v>0</v>
      </c>
      <c r="F259" s="89" t="s">
        <v>3</v>
      </c>
    </row>
    <row r="260" spans="1:9" ht="30" hidden="1" x14ac:dyDescent="0.25">
      <c r="A260" s="89"/>
      <c r="B260" s="89"/>
      <c r="C260" s="90"/>
      <c r="D260" s="103" t="s">
        <v>246</v>
      </c>
      <c r="E260" s="104"/>
      <c r="F260" s="105" t="s">
        <v>3</v>
      </c>
    </row>
    <row r="261" spans="1:9" hidden="1" x14ac:dyDescent="0.25">
      <c r="A261" s="5">
        <v>2</v>
      </c>
      <c r="B261" s="5">
        <v>3</v>
      </c>
      <c r="C261" s="53" t="s">
        <v>89</v>
      </c>
      <c r="D261" s="12" t="s">
        <v>247</v>
      </c>
      <c r="E261" s="54"/>
      <c r="F261" s="5"/>
    </row>
    <row r="262" spans="1:9" hidden="1" x14ac:dyDescent="0.25">
      <c r="A262" s="5">
        <v>2</v>
      </c>
      <c r="B262" s="5">
        <v>3</v>
      </c>
      <c r="C262" s="53" t="s">
        <v>98</v>
      </c>
      <c r="D262" s="12" t="s">
        <v>248</v>
      </c>
      <c r="E262" s="54">
        <f>SUM(E263)</f>
        <v>0</v>
      </c>
      <c r="F262" s="5" t="s">
        <v>3</v>
      </c>
    </row>
    <row r="263" spans="1:9" ht="30" hidden="1" x14ac:dyDescent="0.25">
      <c r="A263" s="5"/>
      <c r="B263" s="5"/>
      <c r="C263" s="53"/>
      <c r="D263" s="43" t="s">
        <v>249</v>
      </c>
      <c r="E263" s="37">
        <v>0</v>
      </c>
      <c r="F263" s="5"/>
    </row>
    <row r="264" spans="1:9" hidden="1" x14ac:dyDescent="0.25">
      <c r="A264" s="5">
        <v>2</v>
      </c>
      <c r="B264" s="5">
        <v>3</v>
      </c>
      <c r="C264" s="53" t="s">
        <v>122</v>
      </c>
      <c r="D264" s="12" t="s">
        <v>250</v>
      </c>
      <c r="E264" s="196"/>
      <c r="F264" s="5"/>
    </row>
    <row r="265" spans="1:9" s="204" customFormat="1" hidden="1" x14ac:dyDescent="0.25">
      <c r="A265" s="42"/>
      <c r="B265" s="42"/>
      <c r="C265" s="55"/>
      <c r="D265" s="71" t="s">
        <v>572</v>
      </c>
      <c r="E265" s="51"/>
      <c r="F265" s="42"/>
    </row>
    <row r="266" spans="1:9" ht="30" x14ac:dyDescent="0.25">
      <c r="A266" s="3">
        <v>2</v>
      </c>
      <c r="B266" s="3">
        <v>3</v>
      </c>
      <c r="C266" s="34" t="s">
        <v>199</v>
      </c>
      <c r="D266" s="2" t="s">
        <v>251</v>
      </c>
      <c r="E266" s="35">
        <f>SUM(E267:E272)</f>
        <v>173140000</v>
      </c>
      <c r="F266" s="3" t="s">
        <v>3</v>
      </c>
    </row>
    <row r="267" spans="1:9" hidden="1" x14ac:dyDescent="0.25">
      <c r="A267" s="5"/>
      <c r="B267" s="5"/>
      <c r="C267" s="53"/>
      <c r="D267" s="43" t="s">
        <v>574</v>
      </c>
      <c r="E267" s="40">
        <v>0</v>
      </c>
      <c r="F267" s="5"/>
    </row>
    <row r="268" spans="1:9" hidden="1" x14ac:dyDescent="0.25">
      <c r="A268" s="5"/>
      <c r="B268" s="5"/>
      <c r="C268" s="53"/>
      <c r="D268" s="43" t="s">
        <v>567</v>
      </c>
      <c r="E268" s="40">
        <v>0</v>
      </c>
      <c r="F268" s="5"/>
    </row>
    <row r="269" spans="1:9" ht="30" x14ac:dyDescent="0.25">
      <c r="A269" s="5"/>
      <c r="B269" s="5"/>
      <c r="C269" s="53"/>
      <c r="D269" s="43" t="s">
        <v>615</v>
      </c>
      <c r="E269" s="37">
        <v>131740000</v>
      </c>
      <c r="F269" s="5"/>
      <c r="G269" t="s">
        <v>607</v>
      </c>
      <c r="H269" s="274">
        <f>E269*3%</f>
        <v>3952200</v>
      </c>
      <c r="I269" s="173">
        <f>E269*30%</f>
        <v>39522000</v>
      </c>
    </row>
    <row r="270" spans="1:9" x14ac:dyDescent="0.25">
      <c r="A270" s="5"/>
      <c r="B270" s="5"/>
      <c r="C270" s="53"/>
      <c r="D270" s="207" t="s">
        <v>607</v>
      </c>
      <c r="E270" s="40">
        <v>5000000</v>
      </c>
      <c r="F270" s="5"/>
      <c r="H270" s="274"/>
      <c r="I270" s="173">
        <f>E269-I269</f>
        <v>92218000</v>
      </c>
    </row>
    <row r="271" spans="1:9" x14ac:dyDescent="0.25">
      <c r="A271" s="5"/>
      <c r="B271" s="5"/>
      <c r="C271" s="53"/>
      <c r="D271" s="207" t="s">
        <v>580</v>
      </c>
      <c r="E271" s="279">
        <v>36400000</v>
      </c>
      <c r="F271" s="5"/>
    </row>
    <row r="272" spans="1:9" hidden="1" x14ac:dyDescent="0.25">
      <c r="A272" s="5"/>
      <c r="B272" s="5"/>
      <c r="C272" s="53"/>
      <c r="D272" s="43" t="s">
        <v>568</v>
      </c>
      <c r="E272" s="50"/>
      <c r="F272" s="5"/>
    </row>
    <row r="273" spans="1:9" ht="30" x14ac:dyDescent="0.25">
      <c r="A273" s="3">
        <v>2</v>
      </c>
      <c r="B273" s="3">
        <v>3</v>
      </c>
      <c r="C273" s="34" t="s">
        <v>163</v>
      </c>
      <c r="D273" s="2" t="s">
        <v>252</v>
      </c>
      <c r="E273" s="35">
        <f>SUM(E274:E276)</f>
        <v>17000000</v>
      </c>
      <c r="F273" s="3" t="s">
        <v>3</v>
      </c>
    </row>
    <row r="274" spans="1:9" s="204" customFormat="1" x14ac:dyDescent="0.25">
      <c r="A274" s="36"/>
      <c r="B274" s="36"/>
      <c r="C274" s="38"/>
      <c r="D274" s="43" t="s">
        <v>613</v>
      </c>
      <c r="E274" s="40">
        <v>17000000</v>
      </c>
      <c r="F274" s="36"/>
      <c r="H274" s="275">
        <f>E274*3%</f>
        <v>510000</v>
      </c>
    </row>
    <row r="275" spans="1:9" x14ac:dyDescent="0.25">
      <c r="A275" s="3"/>
      <c r="B275" s="3"/>
      <c r="C275" s="34"/>
      <c r="D275" s="207" t="s">
        <v>607</v>
      </c>
      <c r="E275" s="35"/>
      <c r="F275" s="3"/>
    </row>
    <row r="276" spans="1:9" hidden="1" x14ac:dyDescent="0.25">
      <c r="A276" s="3"/>
      <c r="B276" s="3"/>
      <c r="C276" s="34"/>
      <c r="D276" s="43" t="s">
        <v>592</v>
      </c>
      <c r="E276" s="37">
        <v>0</v>
      </c>
      <c r="F276" s="5"/>
    </row>
    <row r="277" spans="1:9" ht="30" x14ac:dyDescent="0.25">
      <c r="A277" s="3">
        <v>2</v>
      </c>
      <c r="B277" s="3">
        <v>3</v>
      </c>
      <c r="C277" s="34" t="s">
        <v>254</v>
      </c>
      <c r="D277" s="2" t="s">
        <v>255</v>
      </c>
      <c r="E277" s="35">
        <f>SUM(E278:E279)</f>
        <v>143490000</v>
      </c>
      <c r="F277" s="3" t="s">
        <v>3</v>
      </c>
      <c r="H277" s="173">
        <f>E277+E306+E417+E419</f>
        <v>363490000</v>
      </c>
    </row>
    <row r="278" spans="1:9" x14ac:dyDescent="0.25">
      <c r="A278" s="5"/>
      <c r="B278" s="5"/>
      <c r="C278" s="53"/>
      <c r="D278" s="277" t="s">
        <v>614</v>
      </c>
      <c r="E278" s="278">
        <v>138490000</v>
      </c>
      <c r="F278" s="42"/>
      <c r="G278" s="274">
        <f>E278*3%</f>
        <v>4154700</v>
      </c>
      <c r="H278" s="173">
        <f>(E277+E306+E417+E419)/M5*100</f>
        <v>32.271782942983471</v>
      </c>
      <c r="I278" s="272">
        <f>M5*20%</f>
        <v>225268000</v>
      </c>
    </row>
    <row r="279" spans="1:9" x14ac:dyDescent="0.25">
      <c r="A279" s="5"/>
      <c r="B279" s="5"/>
      <c r="C279" s="53"/>
      <c r="D279" s="207" t="s">
        <v>607</v>
      </c>
      <c r="E279" s="40">
        <v>5000000</v>
      </c>
      <c r="F279" s="5"/>
      <c r="I279" s="173">
        <f>E278*30%</f>
        <v>41547000</v>
      </c>
    </row>
    <row r="280" spans="1:9" ht="45" hidden="1" x14ac:dyDescent="0.25">
      <c r="A280" s="3">
        <v>2</v>
      </c>
      <c r="B280" s="3">
        <v>3</v>
      </c>
      <c r="C280" s="34" t="s">
        <v>257</v>
      </c>
      <c r="D280" s="2" t="s">
        <v>258</v>
      </c>
      <c r="E280" s="35">
        <f>SUM(E281:E283)</f>
        <v>0</v>
      </c>
      <c r="F280" s="3" t="s">
        <v>6</v>
      </c>
    </row>
    <row r="281" spans="1:9" ht="30" hidden="1" x14ac:dyDescent="0.25">
      <c r="A281" s="3"/>
      <c r="B281" s="3"/>
      <c r="C281" s="34"/>
      <c r="D281" s="43" t="s">
        <v>566</v>
      </c>
      <c r="E281" s="40">
        <v>0</v>
      </c>
      <c r="F281" s="3"/>
    </row>
    <row r="282" spans="1:9" hidden="1" x14ac:dyDescent="0.25">
      <c r="A282" s="3"/>
      <c r="B282" s="3"/>
      <c r="C282" s="34"/>
      <c r="D282" s="43" t="s">
        <v>573</v>
      </c>
      <c r="E282" s="40"/>
      <c r="F282" s="3"/>
    </row>
    <row r="283" spans="1:9" hidden="1" x14ac:dyDescent="0.25">
      <c r="A283" s="5"/>
      <c r="B283" s="5"/>
      <c r="C283" s="53"/>
      <c r="D283" s="71" t="s">
        <v>571</v>
      </c>
      <c r="E283" s="51">
        <v>0</v>
      </c>
      <c r="F283" s="5"/>
    </row>
    <row r="284" spans="1:9" ht="30" hidden="1" x14ac:dyDescent="0.25">
      <c r="A284" s="3">
        <v>2</v>
      </c>
      <c r="B284" s="3">
        <v>3</v>
      </c>
      <c r="C284" s="34" t="s">
        <v>261</v>
      </c>
      <c r="D284" s="2" t="s">
        <v>262</v>
      </c>
      <c r="E284" s="35">
        <f>E285</f>
        <v>0</v>
      </c>
      <c r="F284" s="3" t="s">
        <v>3</v>
      </c>
    </row>
    <row r="285" spans="1:9" ht="30" hidden="1" x14ac:dyDescent="0.25">
      <c r="A285" s="3"/>
      <c r="B285" s="3"/>
      <c r="C285" s="34"/>
      <c r="D285" s="43" t="s">
        <v>263</v>
      </c>
      <c r="E285" s="37">
        <v>0</v>
      </c>
      <c r="F285" s="3"/>
    </row>
    <row r="286" spans="1:9" ht="30" hidden="1" x14ac:dyDescent="0.25">
      <c r="A286" s="3">
        <v>2</v>
      </c>
      <c r="B286" s="3">
        <v>3</v>
      </c>
      <c r="C286" s="34" t="s">
        <v>264</v>
      </c>
      <c r="D286" s="2" t="s">
        <v>265</v>
      </c>
      <c r="E286" s="35">
        <f>SUM(E287:E287)</f>
        <v>0</v>
      </c>
      <c r="F286" s="3" t="s">
        <v>3</v>
      </c>
    </row>
    <row r="287" spans="1:9" hidden="1" x14ac:dyDescent="0.25">
      <c r="A287" s="3"/>
      <c r="B287" s="3"/>
      <c r="C287" s="34"/>
      <c r="D287" s="43" t="s">
        <v>266</v>
      </c>
      <c r="E287" s="40">
        <v>0</v>
      </c>
      <c r="F287" s="3"/>
    </row>
    <row r="288" spans="1:9" x14ac:dyDescent="0.25">
      <c r="A288" s="8">
        <v>2</v>
      </c>
      <c r="B288" s="8">
        <v>4</v>
      </c>
      <c r="C288" s="8"/>
      <c r="D288" s="6" t="s">
        <v>267</v>
      </c>
      <c r="E288" s="57">
        <f>E289+E291+E293+E300+E302+E305+E308+E310+E315</f>
        <v>374000000</v>
      </c>
      <c r="F288" s="8"/>
      <c r="I288" s="173">
        <f>E278-I279</f>
        <v>96943000</v>
      </c>
    </row>
    <row r="289" spans="1:8" ht="30" hidden="1" x14ac:dyDescent="0.25">
      <c r="A289" s="3">
        <v>2</v>
      </c>
      <c r="B289" s="3">
        <v>4</v>
      </c>
      <c r="C289" s="34" t="s">
        <v>85</v>
      </c>
      <c r="D289" s="2" t="s">
        <v>268</v>
      </c>
      <c r="E289" s="221">
        <f>SUM(E290:E290)</f>
        <v>0</v>
      </c>
      <c r="F289" s="3" t="s">
        <v>3</v>
      </c>
    </row>
    <row r="290" spans="1:8" ht="30" hidden="1" x14ac:dyDescent="0.25">
      <c r="A290" s="5"/>
      <c r="B290" s="3"/>
      <c r="C290" s="34"/>
      <c r="D290" s="43" t="s">
        <v>269</v>
      </c>
      <c r="E290" s="37">
        <v>0</v>
      </c>
      <c r="F290" s="3" t="s">
        <v>3</v>
      </c>
    </row>
    <row r="291" spans="1:8" hidden="1" x14ac:dyDescent="0.25">
      <c r="A291" s="3">
        <v>2</v>
      </c>
      <c r="B291" s="3">
        <v>4</v>
      </c>
      <c r="C291" s="34" t="s">
        <v>98</v>
      </c>
      <c r="D291" s="2" t="s">
        <v>270</v>
      </c>
      <c r="E291" s="35">
        <f>SUM(E292:E292)</f>
        <v>0</v>
      </c>
      <c r="F291" s="3" t="s">
        <v>3</v>
      </c>
    </row>
    <row r="292" spans="1:8" hidden="1" x14ac:dyDescent="0.25">
      <c r="A292" s="5"/>
      <c r="B292" s="3"/>
      <c r="C292" s="34"/>
      <c r="D292" s="43" t="s">
        <v>271</v>
      </c>
      <c r="E292" s="37">
        <v>0</v>
      </c>
      <c r="F292" s="3"/>
    </row>
    <row r="293" spans="1:8" s="185" customFormat="1" x14ac:dyDescent="0.25">
      <c r="A293" s="3">
        <v>2</v>
      </c>
      <c r="B293" s="3">
        <v>4</v>
      </c>
      <c r="C293" s="34" t="s">
        <v>159</v>
      </c>
      <c r="D293" s="2" t="s">
        <v>272</v>
      </c>
      <c r="E293" s="35">
        <f>SUM(E294:E299)</f>
        <v>104000000</v>
      </c>
      <c r="F293" s="3" t="s">
        <v>3</v>
      </c>
    </row>
    <row r="294" spans="1:8" x14ac:dyDescent="0.25">
      <c r="A294" s="5"/>
      <c r="B294" s="5"/>
      <c r="C294" s="53"/>
      <c r="D294" s="71" t="s">
        <v>556</v>
      </c>
      <c r="E294" s="50">
        <f>2000000*12</f>
        <v>24000000</v>
      </c>
      <c r="F294" s="3"/>
    </row>
    <row r="295" spans="1:8" x14ac:dyDescent="0.25">
      <c r="A295" s="5"/>
      <c r="B295" s="5"/>
      <c r="C295" s="53"/>
      <c r="D295" s="71" t="s">
        <v>555</v>
      </c>
      <c r="E295" s="50">
        <f>2000000*12</f>
        <v>24000000</v>
      </c>
      <c r="F295" s="46"/>
      <c r="H295">
        <v>1500000</v>
      </c>
    </row>
    <row r="296" spans="1:8" x14ac:dyDescent="0.25">
      <c r="A296" s="5"/>
      <c r="B296" s="5"/>
      <c r="C296" s="53"/>
      <c r="D296" s="277" t="s">
        <v>616</v>
      </c>
      <c r="E296" s="50">
        <f>1500000*2*6</f>
        <v>18000000</v>
      </c>
      <c r="F296" s="46"/>
      <c r="H296">
        <v>1300000</v>
      </c>
    </row>
    <row r="297" spans="1:8" x14ac:dyDescent="0.25">
      <c r="A297" s="5"/>
      <c r="B297" s="5"/>
      <c r="C297" s="53"/>
      <c r="D297" s="71" t="s">
        <v>276</v>
      </c>
      <c r="E297" s="50">
        <f>1500000*12</f>
        <v>18000000</v>
      </c>
      <c r="F297" s="46"/>
      <c r="H297">
        <v>1100000</v>
      </c>
    </row>
    <row r="298" spans="1:8" hidden="1" x14ac:dyDescent="0.25">
      <c r="A298" s="5"/>
      <c r="B298" s="5"/>
      <c r="C298" s="53"/>
      <c r="D298" s="71"/>
      <c r="E298" s="50">
        <v>0</v>
      </c>
      <c r="F298" s="46"/>
      <c r="H298">
        <v>1100000</v>
      </c>
    </row>
    <row r="299" spans="1:8" x14ac:dyDescent="0.25">
      <c r="A299" s="3"/>
      <c r="B299" s="3"/>
      <c r="C299" s="34"/>
      <c r="D299" s="43" t="s">
        <v>416</v>
      </c>
      <c r="E299" s="37">
        <v>20000000</v>
      </c>
      <c r="F299" s="97"/>
      <c r="H299">
        <v>1000000</v>
      </c>
    </row>
    <row r="300" spans="1:8" hidden="1" x14ac:dyDescent="0.25">
      <c r="A300" s="5">
        <v>2</v>
      </c>
      <c r="B300" s="5">
        <v>4</v>
      </c>
      <c r="C300" s="53" t="s">
        <v>160</v>
      </c>
      <c r="D300" s="12" t="s">
        <v>280</v>
      </c>
      <c r="E300" s="54">
        <f>SUM(E301:E301)</f>
        <v>0</v>
      </c>
      <c r="F300" s="5" t="s">
        <v>3</v>
      </c>
      <c r="H300">
        <f>SUM(H295:H299)</f>
        <v>6000000</v>
      </c>
    </row>
    <row r="301" spans="1:8" hidden="1" x14ac:dyDescent="0.25">
      <c r="A301" s="5"/>
      <c r="B301" s="5"/>
      <c r="C301" s="53"/>
      <c r="D301" s="71" t="s">
        <v>281</v>
      </c>
      <c r="E301" s="50">
        <v>0</v>
      </c>
      <c r="F301" s="5"/>
      <c r="H301">
        <f>H300*12</f>
        <v>72000000</v>
      </c>
    </row>
    <row r="302" spans="1:8" ht="30" hidden="1" x14ac:dyDescent="0.25">
      <c r="A302" s="3">
        <v>2</v>
      </c>
      <c r="B302" s="3">
        <v>4</v>
      </c>
      <c r="C302" s="34">
        <v>11</v>
      </c>
      <c r="D302" s="2" t="s">
        <v>282</v>
      </c>
      <c r="E302" s="35">
        <f>SUM(E303:E304)</f>
        <v>0</v>
      </c>
      <c r="F302" s="3" t="s">
        <v>3</v>
      </c>
    </row>
    <row r="303" spans="1:8" hidden="1" x14ac:dyDescent="0.25">
      <c r="A303" s="3"/>
      <c r="B303" s="3"/>
      <c r="C303" s="34"/>
      <c r="D303" s="71" t="s">
        <v>564</v>
      </c>
      <c r="E303" s="51">
        <v>0</v>
      </c>
      <c r="F303" s="42" t="s">
        <v>3</v>
      </c>
      <c r="G303">
        <v>187000000</v>
      </c>
    </row>
    <row r="304" spans="1:8" hidden="1" x14ac:dyDescent="0.25">
      <c r="A304" s="3"/>
      <c r="B304" s="3"/>
      <c r="C304" s="34"/>
      <c r="D304" s="71" t="s">
        <v>283</v>
      </c>
      <c r="E304" s="50">
        <v>0</v>
      </c>
      <c r="F304" s="42" t="s">
        <v>4</v>
      </c>
    </row>
    <row r="305" spans="1:9" ht="30" x14ac:dyDescent="0.25">
      <c r="A305" s="3">
        <v>2</v>
      </c>
      <c r="B305" s="3">
        <v>4</v>
      </c>
      <c r="C305" s="106">
        <v>12</v>
      </c>
      <c r="D305" s="107" t="s">
        <v>284</v>
      </c>
      <c r="E305" s="35">
        <f>E306</f>
        <v>160000000</v>
      </c>
      <c r="F305" s="3" t="s">
        <v>3</v>
      </c>
    </row>
    <row r="306" spans="1:9" x14ac:dyDescent="0.25">
      <c r="A306" s="5"/>
      <c r="B306" s="5"/>
      <c r="C306" s="108"/>
      <c r="D306" s="43" t="s">
        <v>603</v>
      </c>
      <c r="E306" s="37">
        <v>160000000</v>
      </c>
      <c r="F306" s="92"/>
      <c r="G306" s="173">
        <f>E306/1300</f>
        <v>123076.92307692308</v>
      </c>
    </row>
    <row r="307" spans="1:9" hidden="1" x14ac:dyDescent="0.25">
      <c r="A307" s="3">
        <v>2</v>
      </c>
      <c r="B307" s="3">
        <v>4</v>
      </c>
      <c r="C307" s="34" t="s">
        <v>286</v>
      </c>
      <c r="D307" s="2" t="s">
        <v>287</v>
      </c>
      <c r="E307" s="109"/>
      <c r="F307" s="97"/>
    </row>
    <row r="308" spans="1:9" ht="30" hidden="1" x14ac:dyDescent="0.25">
      <c r="A308" s="3">
        <v>2</v>
      </c>
      <c r="B308" s="3">
        <v>4</v>
      </c>
      <c r="C308" s="34" t="s">
        <v>257</v>
      </c>
      <c r="D308" s="2" t="s">
        <v>288</v>
      </c>
      <c r="E308" s="35">
        <f>E309</f>
        <v>0</v>
      </c>
      <c r="F308" s="3" t="s">
        <v>3</v>
      </c>
    </row>
    <row r="309" spans="1:9" hidden="1" x14ac:dyDescent="0.25">
      <c r="A309" s="5"/>
      <c r="B309" s="5"/>
      <c r="C309" s="53"/>
      <c r="D309" s="43" t="s">
        <v>289</v>
      </c>
      <c r="E309" s="37">
        <v>0</v>
      </c>
      <c r="F309" s="92"/>
    </row>
    <row r="310" spans="1:9" s="185" customFormat="1" ht="30" x14ac:dyDescent="0.25">
      <c r="A310" s="3">
        <v>2</v>
      </c>
      <c r="B310" s="3">
        <v>4</v>
      </c>
      <c r="C310" s="34" t="s">
        <v>261</v>
      </c>
      <c r="D310" s="2" t="s">
        <v>290</v>
      </c>
      <c r="E310" s="35">
        <f>SUM(E311:E313)</f>
        <v>105000000</v>
      </c>
      <c r="F310" s="3" t="s">
        <v>3</v>
      </c>
    </row>
    <row r="311" spans="1:9" x14ac:dyDescent="0.25">
      <c r="A311" s="3"/>
      <c r="B311" s="3"/>
      <c r="C311" s="34"/>
      <c r="D311" s="43" t="s">
        <v>587</v>
      </c>
      <c r="E311" s="40">
        <v>100000000</v>
      </c>
      <c r="F311" s="36" t="s">
        <v>3</v>
      </c>
      <c r="G311" s="173">
        <f>E311*11%</f>
        <v>11000000</v>
      </c>
      <c r="H311" s="173">
        <f>119000000+G311</f>
        <v>130000000</v>
      </c>
      <c r="I311" s="274">
        <f>E311*3%</f>
        <v>3000000</v>
      </c>
    </row>
    <row r="312" spans="1:9" hidden="1" x14ac:dyDescent="0.25">
      <c r="A312" s="5"/>
      <c r="B312" s="5"/>
      <c r="C312" s="53"/>
      <c r="D312" s="222" t="s">
        <v>590</v>
      </c>
      <c r="E312" s="50">
        <v>0</v>
      </c>
      <c r="F312" s="42"/>
    </row>
    <row r="313" spans="1:9" x14ac:dyDescent="0.25">
      <c r="A313" s="5"/>
      <c r="B313" s="5"/>
      <c r="C313" s="53"/>
      <c r="D313" s="222" t="s">
        <v>607</v>
      </c>
      <c r="E313" s="51">
        <v>5000000</v>
      </c>
      <c r="F313" s="42" t="s">
        <v>3</v>
      </c>
    </row>
    <row r="314" spans="1:9" hidden="1" x14ac:dyDescent="0.25">
      <c r="A314" s="5"/>
      <c r="B314" s="5"/>
      <c r="C314" s="53"/>
      <c r="D314" s="71"/>
      <c r="E314" s="64"/>
      <c r="F314" s="5"/>
    </row>
    <row r="315" spans="1:9" ht="30" x14ac:dyDescent="0.25">
      <c r="A315" s="3">
        <v>2</v>
      </c>
      <c r="B315" s="3">
        <v>4</v>
      </c>
      <c r="C315" s="34" t="s">
        <v>264</v>
      </c>
      <c r="D315" s="110" t="s">
        <v>292</v>
      </c>
      <c r="E315" s="45">
        <f>E316</f>
        <v>5000000</v>
      </c>
      <c r="F315" s="4" t="s">
        <v>2</v>
      </c>
    </row>
    <row r="316" spans="1:9" s="263" customFormat="1" x14ac:dyDescent="0.25">
      <c r="A316" s="48"/>
      <c r="B316" s="48"/>
      <c r="C316" s="62"/>
      <c r="D316" s="120" t="s">
        <v>589</v>
      </c>
      <c r="E316" s="205">
        <v>5000000</v>
      </c>
      <c r="F316" s="273" t="s">
        <v>2</v>
      </c>
      <c r="G316" s="263" t="s">
        <v>3</v>
      </c>
    </row>
    <row r="317" spans="1:9" hidden="1" x14ac:dyDescent="0.25">
      <c r="A317" s="5"/>
      <c r="B317" s="5"/>
      <c r="C317" s="53"/>
      <c r="D317" s="111"/>
      <c r="E317" s="112"/>
      <c r="F317" s="113"/>
    </row>
    <row r="318" spans="1:9" hidden="1" x14ac:dyDescent="0.25">
      <c r="A318" s="5"/>
      <c r="B318" s="5"/>
      <c r="C318" s="53"/>
      <c r="D318" s="111"/>
      <c r="E318" s="112"/>
      <c r="F318" s="113"/>
    </row>
    <row r="319" spans="1:9" x14ac:dyDescent="0.25">
      <c r="A319" s="10">
        <v>2</v>
      </c>
      <c r="B319" s="10">
        <v>5</v>
      </c>
      <c r="C319" s="10"/>
      <c r="D319" s="114" t="s">
        <v>294</v>
      </c>
      <c r="E319" s="115">
        <f>E320+E323</f>
        <v>2400000</v>
      </c>
      <c r="F319" s="10"/>
    </row>
    <row r="320" spans="1:9" s="185" customFormat="1" x14ac:dyDescent="0.25">
      <c r="A320" s="92">
        <v>2</v>
      </c>
      <c r="B320" s="5">
        <v>5</v>
      </c>
      <c r="C320" s="53" t="s">
        <v>89</v>
      </c>
      <c r="D320" s="5" t="s">
        <v>295</v>
      </c>
      <c r="E320" s="54">
        <f>SUM(E321:E322)</f>
        <v>2400000</v>
      </c>
      <c r="F320" s="5" t="s">
        <v>9</v>
      </c>
    </row>
    <row r="321" spans="1:7" x14ac:dyDescent="0.25">
      <c r="A321" s="92"/>
      <c r="B321" s="92"/>
      <c r="C321" s="116"/>
      <c r="D321" s="42" t="s">
        <v>296</v>
      </c>
      <c r="E321" s="50">
        <v>1000000</v>
      </c>
      <c r="F321" s="52" t="s">
        <v>9</v>
      </c>
      <c r="G321" t="s">
        <v>3</v>
      </c>
    </row>
    <row r="322" spans="1:7" x14ac:dyDescent="0.25">
      <c r="A322" s="92"/>
      <c r="B322" s="92"/>
      <c r="C322" s="116"/>
      <c r="D322" s="42" t="s">
        <v>297</v>
      </c>
      <c r="E322" s="50">
        <v>1400000</v>
      </c>
      <c r="F322" s="52" t="s">
        <v>9</v>
      </c>
      <c r="G322" t="s">
        <v>3</v>
      </c>
    </row>
    <row r="323" spans="1:7" s="185" customFormat="1" ht="30" hidden="1" x14ac:dyDescent="0.25">
      <c r="A323" s="5">
        <v>2</v>
      </c>
      <c r="B323" s="5">
        <v>5</v>
      </c>
      <c r="C323" s="53" t="s">
        <v>98</v>
      </c>
      <c r="D323" s="187" t="s">
        <v>298</v>
      </c>
      <c r="E323" s="35">
        <f>E324</f>
        <v>0</v>
      </c>
      <c r="F323" s="3" t="s">
        <v>3</v>
      </c>
    </row>
    <row r="324" spans="1:7" hidden="1" x14ac:dyDescent="0.25">
      <c r="A324" s="92"/>
      <c r="B324" s="92"/>
      <c r="C324" s="92"/>
      <c r="D324" s="71" t="s">
        <v>299</v>
      </c>
      <c r="E324" s="37"/>
      <c r="F324" s="36" t="s">
        <v>3</v>
      </c>
    </row>
    <row r="325" spans="1:7" hidden="1" x14ac:dyDescent="0.25">
      <c r="A325" s="92"/>
      <c r="B325" s="92"/>
      <c r="C325" s="92"/>
      <c r="D325" s="71"/>
      <c r="E325" s="50"/>
      <c r="F325" s="42"/>
    </row>
    <row r="326" spans="1:7" x14ac:dyDescent="0.25">
      <c r="A326" s="117">
        <v>2</v>
      </c>
      <c r="B326" s="117">
        <v>6</v>
      </c>
      <c r="C326" s="117"/>
      <c r="D326" s="13" t="s">
        <v>52</v>
      </c>
      <c r="E326" s="118">
        <f>E327+E331+E337</f>
        <v>45400000</v>
      </c>
      <c r="F326" s="69"/>
    </row>
    <row r="327" spans="1:7" hidden="1" x14ac:dyDescent="0.25">
      <c r="A327" s="5">
        <v>2</v>
      </c>
      <c r="B327" s="5">
        <v>6</v>
      </c>
      <c r="C327" s="53" t="s">
        <v>85</v>
      </c>
      <c r="D327" s="12" t="s">
        <v>300</v>
      </c>
      <c r="E327" s="54">
        <f>SUM(E328:E330)</f>
        <v>0</v>
      </c>
      <c r="F327" s="5" t="s">
        <v>3</v>
      </c>
    </row>
    <row r="328" spans="1:7" hidden="1" x14ac:dyDescent="0.25">
      <c r="A328" s="5"/>
      <c r="B328" s="5"/>
      <c r="C328" s="53"/>
      <c r="D328" s="71" t="s">
        <v>301</v>
      </c>
      <c r="E328" s="75"/>
      <c r="F328" s="46"/>
    </row>
    <row r="329" spans="1:7" hidden="1" x14ac:dyDescent="0.25">
      <c r="A329" s="5"/>
      <c r="B329" s="5"/>
      <c r="C329" s="53"/>
      <c r="D329" s="71" t="s">
        <v>302</v>
      </c>
      <c r="E329" s="75"/>
      <c r="F329" s="46"/>
    </row>
    <row r="330" spans="1:7" hidden="1" x14ac:dyDescent="0.25">
      <c r="A330" s="5"/>
      <c r="B330" s="5"/>
      <c r="C330" s="53"/>
      <c r="D330" s="71" t="s">
        <v>303</v>
      </c>
      <c r="E330" s="75"/>
      <c r="F330" s="46"/>
    </row>
    <row r="331" spans="1:7" ht="33.75" customHeight="1" x14ac:dyDescent="0.25">
      <c r="A331" s="3">
        <v>2</v>
      </c>
      <c r="B331" s="3">
        <v>6</v>
      </c>
      <c r="C331" s="34" t="s">
        <v>89</v>
      </c>
      <c r="D331" s="2" t="s">
        <v>53</v>
      </c>
      <c r="E331" s="35">
        <f>SUM(E332:E336)</f>
        <v>45400000</v>
      </c>
      <c r="F331" s="2" t="s">
        <v>304</v>
      </c>
    </row>
    <row r="332" spans="1:7" hidden="1" x14ac:dyDescent="0.25">
      <c r="A332" s="3"/>
      <c r="B332" s="3"/>
      <c r="C332" s="34"/>
      <c r="D332" s="42" t="s">
        <v>161</v>
      </c>
      <c r="E332" s="50">
        <v>0</v>
      </c>
      <c r="F332" s="2"/>
    </row>
    <row r="333" spans="1:7" x14ac:dyDescent="0.25">
      <c r="A333" s="3"/>
      <c r="B333" s="3"/>
      <c r="C333" s="34"/>
      <c r="D333" s="48" t="s">
        <v>162</v>
      </c>
      <c r="E333" s="49">
        <v>24000000</v>
      </c>
      <c r="F333" s="43" t="s">
        <v>3</v>
      </c>
      <c r="G333" s="173">
        <f>E333/12</f>
        <v>2000000</v>
      </c>
    </row>
    <row r="334" spans="1:7" x14ac:dyDescent="0.25">
      <c r="A334" s="3"/>
      <c r="B334" s="3"/>
      <c r="C334" s="34"/>
      <c r="D334" s="48" t="s">
        <v>586</v>
      </c>
      <c r="E334" s="49">
        <f>1700000*12</f>
        <v>20400000</v>
      </c>
      <c r="F334" s="43" t="s">
        <v>3</v>
      </c>
      <c r="G334" s="173">
        <f>E334/12</f>
        <v>1700000</v>
      </c>
    </row>
    <row r="335" spans="1:7" x14ac:dyDescent="0.25">
      <c r="A335" s="3"/>
      <c r="B335" s="3"/>
      <c r="C335" s="34"/>
      <c r="D335" s="43" t="s">
        <v>305</v>
      </c>
      <c r="E335" s="37">
        <v>1000000</v>
      </c>
      <c r="F335" s="43" t="s">
        <v>6</v>
      </c>
      <c r="G335" t="s">
        <v>0</v>
      </c>
    </row>
    <row r="336" spans="1:7" hidden="1" x14ac:dyDescent="0.25">
      <c r="A336" s="3"/>
      <c r="B336" s="3"/>
      <c r="C336" s="34"/>
      <c r="D336" s="103" t="s">
        <v>306</v>
      </c>
      <c r="E336" s="104">
        <v>0</v>
      </c>
      <c r="F336" s="119"/>
    </row>
    <row r="337" spans="1:7" ht="30" hidden="1" x14ac:dyDescent="0.25">
      <c r="A337" s="93">
        <v>2</v>
      </c>
      <c r="B337" s="93">
        <v>6</v>
      </c>
      <c r="C337" s="94" t="s">
        <v>98</v>
      </c>
      <c r="D337" s="95" t="s">
        <v>307</v>
      </c>
      <c r="E337" s="96">
        <f>SUM(E338:E339)</f>
        <v>0</v>
      </c>
      <c r="F337" s="95" t="s">
        <v>3</v>
      </c>
    </row>
    <row r="338" spans="1:7" hidden="1" x14ac:dyDescent="0.25">
      <c r="A338" s="3"/>
      <c r="B338" s="3"/>
      <c r="C338" s="34"/>
      <c r="D338" s="103" t="s">
        <v>308</v>
      </c>
      <c r="E338" s="104">
        <v>0</v>
      </c>
      <c r="F338" s="2"/>
    </row>
    <row r="339" spans="1:7" hidden="1" x14ac:dyDescent="0.25">
      <c r="A339" s="3"/>
      <c r="B339" s="3"/>
      <c r="C339" s="34"/>
      <c r="D339" s="103" t="s">
        <v>309</v>
      </c>
      <c r="E339" s="104"/>
      <c r="F339" s="119"/>
    </row>
    <row r="340" spans="1:7" x14ac:dyDescent="0.25">
      <c r="A340" s="10">
        <v>2</v>
      </c>
      <c r="B340" s="10">
        <v>7</v>
      </c>
      <c r="C340" s="10"/>
      <c r="D340" s="114" t="s">
        <v>310</v>
      </c>
      <c r="E340" s="115">
        <f>E341+E342</f>
        <v>9000000</v>
      </c>
      <c r="F340" s="10"/>
    </row>
    <row r="341" spans="1:7" s="70" customFormat="1" ht="30" hidden="1" x14ac:dyDescent="0.25">
      <c r="A341" s="3">
        <v>2</v>
      </c>
      <c r="B341" s="3">
        <v>7</v>
      </c>
      <c r="C341" s="34" t="s">
        <v>85</v>
      </c>
      <c r="D341" s="260" t="s">
        <v>575</v>
      </c>
      <c r="E341" s="35"/>
      <c r="F341" s="3"/>
    </row>
    <row r="342" spans="1:7" s="70" customFormat="1" ht="30" x14ac:dyDescent="0.25">
      <c r="A342" s="3">
        <v>2</v>
      </c>
      <c r="B342" s="3">
        <v>7</v>
      </c>
      <c r="C342" s="34" t="s">
        <v>89</v>
      </c>
      <c r="D342" s="260" t="s">
        <v>576</v>
      </c>
      <c r="E342" s="35">
        <f>SUM(E343:E344)</f>
        <v>9000000</v>
      </c>
      <c r="F342" s="3" t="s">
        <v>6</v>
      </c>
    </row>
    <row r="343" spans="1:7" s="262" customFormat="1" x14ac:dyDescent="0.25">
      <c r="A343" s="36"/>
      <c r="B343" s="36"/>
      <c r="C343" s="38"/>
      <c r="D343" s="261" t="s">
        <v>581</v>
      </c>
      <c r="E343" s="37">
        <v>5000000</v>
      </c>
      <c r="F343" s="227" t="s">
        <v>6</v>
      </c>
      <c r="G343" s="262" t="s">
        <v>3</v>
      </c>
    </row>
    <row r="344" spans="1:7" s="237" customFormat="1" x14ac:dyDescent="0.25">
      <c r="A344" s="42"/>
      <c r="B344" s="42"/>
      <c r="C344" s="42"/>
      <c r="D344" s="71" t="s">
        <v>588</v>
      </c>
      <c r="E344" s="50">
        <v>4000000</v>
      </c>
      <c r="F344" s="52" t="s">
        <v>6</v>
      </c>
      <c r="G344" s="237" t="s">
        <v>3</v>
      </c>
    </row>
    <row r="345" spans="1:7" x14ac:dyDescent="0.25">
      <c r="A345" s="10">
        <v>2</v>
      </c>
      <c r="B345" s="10">
        <v>8</v>
      </c>
      <c r="C345" s="8"/>
      <c r="D345" s="114" t="s">
        <v>311</v>
      </c>
      <c r="E345" s="57">
        <f>E349</f>
        <v>9000000</v>
      </c>
      <c r="F345" s="8"/>
    </row>
    <row r="346" spans="1:7" hidden="1" x14ac:dyDescent="0.25">
      <c r="A346" s="3">
        <v>2</v>
      </c>
      <c r="B346" s="3">
        <v>8</v>
      </c>
      <c r="C346" s="34" t="s">
        <v>85</v>
      </c>
      <c r="D346" s="2" t="s">
        <v>312</v>
      </c>
      <c r="E346" s="35"/>
      <c r="F346" s="3"/>
    </row>
    <row r="347" spans="1:7" s="188" customFormat="1" ht="30" hidden="1" x14ac:dyDescent="0.25">
      <c r="A347" s="3">
        <v>2</v>
      </c>
      <c r="B347" s="3">
        <v>8</v>
      </c>
      <c r="C347" s="34" t="s">
        <v>89</v>
      </c>
      <c r="D347" s="2" t="s">
        <v>313</v>
      </c>
      <c r="E347" s="35"/>
      <c r="F347" s="3"/>
    </row>
    <row r="348" spans="1:7" hidden="1" x14ac:dyDescent="0.25">
      <c r="A348" s="5"/>
      <c r="B348" s="5"/>
      <c r="C348" s="53"/>
      <c r="D348" s="12"/>
      <c r="E348" s="54"/>
      <c r="F348" s="5"/>
    </row>
    <row r="349" spans="1:7" s="185" customFormat="1" x14ac:dyDescent="0.25">
      <c r="A349" s="5">
        <v>2</v>
      </c>
      <c r="B349" s="5">
        <v>8</v>
      </c>
      <c r="C349" s="53" t="s">
        <v>98</v>
      </c>
      <c r="D349" s="17" t="s">
        <v>314</v>
      </c>
      <c r="E349" s="54">
        <f>SUM(E350:E352)</f>
        <v>9000000</v>
      </c>
      <c r="F349" s="5" t="s">
        <v>3</v>
      </c>
    </row>
    <row r="350" spans="1:7" x14ac:dyDescent="0.25">
      <c r="A350" s="5"/>
      <c r="B350" s="5"/>
      <c r="C350" s="53"/>
      <c r="D350" s="120" t="s">
        <v>584</v>
      </c>
      <c r="E350" s="49">
        <v>9000000</v>
      </c>
      <c r="F350" s="92" t="s">
        <v>3</v>
      </c>
    </row>
    <row r="351" spans="1:7" hidden="1" x14ac:dyDescent="0.25">
      <c r="A351" s="5"/>
      <c r="B351" s="5"/>
      <c r="C351" s="53"/>
      <c r="D351" s="120"/>
      <c r="E351" s="49"/>
      <c r="F351" s="92" t="s">
        <v>3</v>
      </c>
    </row>
    <row r="352" spans="1:7" hidden="1" x14ac:dyDescent="0.25">
      <c r="A352" s="5"/>
      <c r="B352" s="5"/>
      <c r="C352" s="53"/>
      <c r="D352" s="120"/>
      <c r="E352" s="49">
        <v>0</v>
      </c>
      <c r="F352" s="92" t="s">
        <v>316</v>
      </c>
    </row>
    <row r="353" spans="1:8" x14ac:dyDescent="0.25">
      <c r="A353" s="11">
        <v>3</v>
      </c>
      <c r="B353" s="11"/>
      <c r="C353" s="11"/>
      <c r="D353" s="14" t="s">
        <v>54</v>
      </c>
      <c r="E353" s="88">
        <f>E354+E372+E389+E401</f>
        <v>82000000</v>
      </c>
      <c r="F353" s="11"/>
    </row>
    <row r="354" spans="1:8" ht="30" x14ac:dyDescent="0.25">
      <c r="A354" s="119">
        <v>3</v>
      </c>
      <c r="B354" s="121">
        <v>1</v>
      </c>
      <c r="C354" s="121"/>
      <c r="D354" s="15" t="s">
        <v>55</v>
      </c>
      <c r="E354" s="122">
        <f>E355+E363+E368</f>
        <v>42000000</v>
      </c>
      <c r="F354" s="121"/>
    </row>
    <row r="355" spans="1:8" ht="15.75" customHeight="1" x14ac:dyDescent="0.25">
      <c r="A355" s="5">
        <v>3</v>
      </c>
      <c r="B355" s="5">
        <v>1</v>
      </c>
      <c r="C355" s="53" t="s">
        <v>85</v>
      </c>
      <c r="D355" s="12" t="s">
        <v>60</v>
      </c>
      <c r="E355" s="54">
        <f>E356+E359</f>
        <v>42000000</v>
      </c>
      <c r="F355" s="5" t="s">
        <v>1</v>
      </c>
    </row>
    <row r="356" spans="1:8" ht="18" hidden="1" customHeight="1" x14ac:dyDescent="0.25">
      <c r="A356" s="5"/>
      <c r="B356" s="5"/>
      <c r="C356" s="53"/>
      <c r="D356" s="72" t="s">
        <v>317</v>
      </c>
      <c r="E356" s="64">
        <f>SUM(E357:E358)</f>
        <v>0</v>
      </c>
      <c r="F356" s="63" t="s">
        <v>3</v>
      </c>
    </row>
    <row r="357" spans="1:8" hidden="1" x14ac:dyDescent="0.25">
      <c r="A357" s="5"/>
      <c r="B357" s="5"/>
      <c r="C357" s="53"/>
      <c r="D357" s="71" t="s">
        <v>318</v>
      </c>
      <c r="E357" s="51">
        <v>0</v>
      </c>
      <c r="F357" s="42" t="s">
        <v>3</v>
      </c>
    </row>
    <row r="358" spans="1:8" hidden="1" x14ac:dyDescent="0.25">
      <c r="A358" s="5"/>
      <c r="B358" s="5"/>
      <c r="C358" s="53"/>
      <c r="D358" s="71" t="s">
        <v>319</v>
      </c>
      <c r="E358" s="51">
        <v>0</v>
      </c>
      <c r="F358" s="42" t="s">
        <v>3</v>
      </c>
    </row>
    <row r="359" spans="1:8" ht="15.75" customHeight="1" x14ac:dyDescent="0.25">
      <c r="A359" s="5"/>
      <c r="B359" s="5"/>
      <c r="C359" s="53"/>
      <c r="D359" s="72" t="s">
        <v>557</v>
      </c>
      <c r="E359" s="64">
        <f>SUM(E360:E362)</f>
        <v>42000000</v>
      </c>
      <c r="F359" s="63" t="s">
        <v>1</v>
      </c>
    </row>
    <row r="360" spans="1:8" ht="20.25" customHeight="1" x14ac:dyDescent="0.25">
      <c r="A360" s="3"/>
      <c r="B360" s="3"/>
      <c r="C360" s="34"/>
      <c r="D360" s="43" t="s">
        <v>558</v>
      </c>
      <c r="E360" s="37">
        <v>9000000</v>
      </c>
      <c r="F360" s="43" t="s">
        <v>1</v>
      </c>
    </row>
    <row r="361" spans="1:8" ht="17.25" customHeight="1" x14ac:dyDescent="0.25">
      <c r="A361" s="5"/>
      <c r="B361" s="5"/>
      <c r="C361" s="53"/>
      <c r="D361" s="71" t="s">
        <v>559</v>
      </c>
      <c r="E361" s="50">
        <v>3000000</v>
      </c>
      <c r="F361" s="48" t="s">
        <v>1</v>
      </c>
    </row>
    <row r="362" spans="1:8" s="204" customFormat="1" x14ac:dyDescent="0.25">
      <c r="A362" s="63"/>
      <c r="B362" s="63"/>
      <c r="C362" s="259"/>
      <c r="D362" s="71" t="s">
        <v>560</v>
      </c>
      <c r="E362" s="51">
        <v>30000000</v>
      </c>
      <c r="F362" s="48" t="s">
        <v>1</v>
      </c>
      <c r="H362" s="204">
        <f>1000000*30</f>
        <v>30000000</v>
      </c>
    </row>
    <row r="363" spans="1:8" ht="30" hidden="1" x14ac:dyDescent="0.25">
      <c r="A363" s="5">
        <v>3</v>
      </c>
      <c r="B363" s="5">
        <v>1</v>
      </c>
      <c r="C363" s="53" t="s">
        <v>89</v>
      </c>
      <c r="D363" s="12" t="s">
        <v>323</v>
      </c>
      <c r="E363" s="75"/>
      <c r="F363" s="46"/>
    </row>
    <row r="364" spans="1:8" ht="30" hidden="1" x14ac:dyDescent="0.25">
      <c r="A364" s="5">
        <v>3</v>
      </c>
      <c r="B364" s="5">
        <v>1</v>
      </c>
      <c r="C364" s="53" t="s">
        <v>98</v>
      </c>
      <c r="D364" s="12" t="s">
        <v>324</v>
      </c>
      <c r="E364" s="75"/>
      <c r="F364" s="46"/>
    </row>
    <row r="365" spans="1:8" hidden="1" x14ac:dyDescent="0.25">
      <c r="A365" s="3">
        <v>3</v>
      </c>
      <c r="B365" s="3">
        <v>1</v>
      </c>
      <c r="C365" s="34" t="s">
        <v>109</v>
      </c>
      <c r="D365" s="2" t="s">
        <v>325</v>
      </c>
      <c r="E365" s="109"/>
      <c r="F365" s="97"/>
    </row>
    <row r="366" spans="1:8" hidden="1" x14ac:dyDescent="0.25">
      <c r="A366" s="5">
        <v>3</v>
      </c>
      <c r="B366" s="5">
        <v>1</v>
      </c>
      <c r="C366" s="53" t="s">
        <v>122</v>
      </c>
      <c r="D366" s="12" t="s">
        <v>326</v>
      </c>
      <c r="E366" s="75"/>
      <c r="F366" s="46"/>
    </row>
    <row r="367" spans="1:8" hidden="1" x14ac:dyDescent="0.25">
      <c r="A367" s="5">
        <v>3</v>
      </c>
      <c r="B367" s="5">
        <v>1</v>
      </c>
      <c r="C367" s="53" t="s">
        <v>125</v>
      </c>
      <c r="D367" s="12" t="s">
        <v>327</v>
      </c>
      <c r="E367" s="75"/>
      <c r="F367" s="46"/>
    </row>
    <row r="368" spans="1:8" ht="30" hidden="1" x14ac:dyDescent="0.25">
      <c r="A368" s="5">
        <v>3</v>
      </c>
      <c r="B368" s="5">
        <v>1</v>
      </c>
      <c r="C368" s="53" t="s">
        <v>159</v>
      </c>
      <c r="D368" s="12" t="s">
        <v>328</v>
      </c>
      <c r="E368" s="75">
        <f>SUM(E369:E371)</f>
        <v>0</v>
      </c>
      <c r="F368" s="46"/>
    </row>
    <row r="369" spans="1:6" hidden="1" x14ac:dyDescent="0.25">
      <c r="A369" s="5"/>
      <c r="B369" s="5"/>
      <c r="C369" s="53"/>
      <c r="D369" s="12"/>
      <c r="E369" s="75"/>
      <c r="F369" s="46"/>
    </row>
    <row r="370" spans="1:6" hidden="1" x14ac:dyDescent="0.25">
      <c r="A370" s="5"/>
      <c r="B370" s="5"/>
      <c r="C370" s="53"/>
      <c r="D370" s="12"/>
      <c r="E370" s="75"/>
      <c r="F370" s="46"/>
    </row>
    <row r="371" spans="1:6" hidden="1" x14ac:dyDescent="0.25">
      <c r="A371" s="5"/>
      <c r="B371" s="5"/>
      <c r="C371" s="53"/>
      <c r="D371" s="12"/>
      <c r="E371" s="75"/>
      <c r="F371" s="46"/>
    </row>
    <row r="372" spans="1:6" x14ac:dyDescent="0.25">
      <c r="A372" s="121">
        <v>3</v>
      </c>
      <c r="B372" s="121">
        <v>2</v>
      </c>
      <c r="C372" s="121"/>
      <c r="D372" s="15" t="s">
        <v>56</v>
      </c>
      <c r="E372" s="122">
        <f>E373+E375+E378</f>
        <v>21000000</v>
      </c>
      <c r="F372" s="15"/>
    </row>
    <row r="373" spans="1:6" x14ac:dyDescent="0.25">
      <c r="A373" s="3">
        <v>3</v>
      </c>
      <c r="B373" s="3">
        <v>2</v>
      </c>
      <c r="C373" s="34" t="s">
        <v>85</v>
      </c>
      <c r="D373" s="2" t="s">
        <v>57</v>
      </c>
      <c r="E373" s="109">
        <f>SUM(E374:E374)</f>
        <v>10000000</v>
      </c>
      <c r="F373" s="97" t="s">
        <v>1</v>
      </c>
    </row>
    <row r="374" spans="1:6" ht="13.5" customHeight="1" x14ac:dyDescent="0.25">
      <c r="A374" s="3"/>
      <c r="B374" s="3"/>
      <c r="C374" s="34"/>
      <c r="D374" s="43" t="s">
        <v>329</v>
      </c>
      <c r="E374" s="37">
        <v>10000000</v>
      </c>
      <c r="F374" s="36" t="s">
        <v>1</v>
      </c>
    </row>
    <row r="375" spans="1:6" ht="29.25" customHeight="1" x14ac:dyDescent="0.25">
      <c r="A375" s="3">
        <v>3</v>
      </c>
      <c r="B375" s="3">
        <v>2</v>
      </c>
      <c r="C375" s="34" t="s">
        <v>89</v>
      </c>
      <c r="D375" s="2" t="s">
        <v>58</v>
      </c>
      <c r="E375" s="35">
        <f>SUM(E376:E377)</f>
        <v>7000000</v>
      </c>
      <c r="F375" s="3" t="s">
        <v>330</v>
      </c>
    </row>
    <row r="376" spans="1:6" x14ac:dyDescent="0.25">
      <c r="A376" s="3"/>
      <c r="B376" s="3"/>
      <c r="C376" s="34"/>
      <c r="D376" s="103" t="s">
        <v>331</v>
      </c>
      <c r="E376" s="104">
        <v>2000000</v>
      </c>
      <c r="F376" s="105" t="s">
        <v>1</v>
      </c>
    </row>
    <row r="377" spans="1:6" ht="19.5" customHeight="1" x14ac:dyDescent="0.25">
      <c r="A377" s="3"/>
      <c r="B377" s="3"/>
      <c r="C377" s="34"/>
      <c r="D377" s="103" t="s">
        <v>332</v>
      </c>
      <c r="E377" s="104">
        <v>5000000</v>
      </c>
      <c r="F377" s="105" t="s">
        <v>2</v>
      </c>
    </row>
    <row r="378" spans="1:6" ht="29.25" customHeight="1" x14ac:dyDescent="0.25">
      <c r="A378" s="3">
        <v>3</v>
      </c>
      <c r="B378" s="3">
        <v>2</v>
      </c>
      <c r="C378" s="34" t="s">
        <v>98</v>
      </c>
      <c r="D378" s="2" t="s">
        <v>561</v>
      </c>
      <c r="E378" s="35">
        <f>E379</f>
        <v>4000000</v>
      </c>
      <c r="F378" s="3" t="s">
        <v>2</v>
      </c>
    </row>
    <row r="379" spans="1:6" ht="18.75" customHeight="1" x14ac:dyDescent="0.25">
      <c r="A379" s="3"/>
      <c r="B379" s="3"/>
      <c r="C379" s="34"/>
      <c r="D379" s="43" t="s">
        <v>333</v>
      </c>
      <c r="E379" s="109">
        <v>4000000</v>
      </c>
      <c r="F379" s="36" t="s">
        <v>2</v>
      </c>
    </row>
    <row r="380" spans="1:6" hidden="1" x14ac:dyDescent="0.25">
      <c r="A380" s="3"/>
      <c r="B380" s="3"/>
      <c r="C380" s="34"/>
      <c r="D380" s="2"/>
      <c r="E380" s="109"/>
      <c r="F380" s="97"/>
    </row>
    <row r="381" spans="1:6" ht="30" hidden="1" x14ac:dyDescent="0.25">
      <c r="A381" s="5">
        <v>3</v>
      </c>
      <c r="B381" s="5">
        <v>2</v>
      </c>
      <c r="C381" s="53" t="s">
        <v>122</v>
      </c>
      <c r="D381" s="12" t="s">
        <v>334</v>
      </c>
      <c r="E381" s="75"/>
      <c r="F381" s="46"/>
    </row>
    <row r="382" spans="1:6" ht="45" hidden="1" x14ac:dyDescent="0.25">
      <c r="A382" s="5">
        <v>3</v>
      </c>
      <c r="B382" s="5">
        <v>2</v>
      </c>
      <c r="C382" s="53" t="s">
        <v>98</v>
      </c>
      <c r="D382" s="12" t="s">
        <v>335</v>
      </c>
      <c r="E382" s="75"/>
      <c r="F382" s="46"/>
    </row>
    <row r="383" spans="1:6" hidden="1" x14ac:dyDescent="0.25">
      <c r="A383" s="5"/>
      <c r="B383" s="5"/>
      <c r="C383" s="53"/>
      <c r="D383" s="4" t="s">
        <v>336</v>
      </c>
      <c r="E383" s="124">
        <v>0</v>
      </c>
      <c r="F383" s="46" t="s">
        <v>4</v>
      </c>
    </row>
    <row r="384" spans="1:6" hidden="1" x14ac:dyDescent="0.25">
      <c r="A384" s="5"/>
      <c r="B384" s="5"/>
      <c r="C384" s="53"/>
      <c r="D384" s="4" t="s">
        <v>337</v>
      </c>
      <c r="E384" s="124">
        <v>0</v>
      </c>
      <c r="F384" s="46" t="s">
        <v>338</v>
      </c>
    </row>
    <row r="385" spans="1:6" hidden="1" x14ac:dyDescent="0.25">
      <c r="A385" s="5"/>
      <c r="B385" s="5"/>
      <c r="C385" s="53"/>
      <c r="D385" s="4" t="s">
        <v>339</v>
      </c>
      <c r="E385" s="124">
        <v>0</v>
      </c>
      <c r="F385" s="46" t="s">
        <v>4</v>
      </c>
    </row>
    <row r="386" spans="1:6" ht="30" hidden="1" x14ac:dyDescent="0.25">
      <c r="A386" s="3">
        <v>3</v>
      </c>
      <c r="B386" s="3">
        <v>2</v>
      </c>
      <c r="C386" s="34" t="s">
        <v>122</v>
      </c>
      <c r="D386" s="2" t="s">
        <v>340</v>
      </c>
      <c r="E386" s="109">
        <v>0</v>
      </c>
      <c r="F386" s="97" t="s">
        <v>4</v>
      </c>
    </row>
    <row r="387" spans="1:6" hidden="1" x14ac:dyDescent="0.25">
      <c r="A387" s="5"/>
      <c r="B387" s="5"/>
      <c r="C387" s="53"/>
      <c r="D387" s="17" t="s">
        <v>341</v>
      </c>
      <c r="E387" s="124">
        <v>0</v>
      </c>
      <c r="F387" s="46" t="s">
        <v>4</v>
      </c>
    </row>
    <row r="388" spans="1:6" hidden="1" x14ac:dyDescent="0.25">
      <c r="A388" s="5"/>
      <c r="B388" s="5"/>
      <c r="C388" s="53"/>
      <c r="D388" s="2" t="s">
        <v>342</v>
      </c>
      <c r="E388" s="109">
        <v>0</v>
      </c>
      <c r="F388" s="97" t="s">
        <v>4</v>
      </c>
    </row>
    <row r="389" spans="1:6" x14ac:dyDescent="0.25">
      <c r="A389" s="125">
        <v>3</v>
      </c>
      <c r="B389" s="125">
        <v>3</v>
      </c>
      <c r="C389" s="125"/>
      <c r="D389" s="16" t="s">
        <v>61</v>
      </c>
      <c r="E389" s="126">
        <f>E390+E394+E395+E396+E397+E399</f>
        <v>9000000</v>
      </c>
      <c r="F389" s="125"/>
    </row>
    <row r="390" spans="1:6" ht="30" customHeight="1" x14ac:dyDescent="0.25">
      <c r="A390" s="3">
        <v>3</v>
      </c>
      <c r="B390" s="3">
        <v>3</v>
      </c>
      <c r="C390" s="34" t="s">
        <v>85</v>
      </c>
      <c r="D390" s="2" t="s">
        <v>62</v>
      </c>
      <c r="E390" s="35">
        <f>SUM(E391:E393)</f>
        <v>9000000</v>
      </c>
      <c r="F390" s="3" t="s">
        <v>2</v>
      </c>
    </row>
    <row r="391" spans="1:6" ht="18.75" customHeight="1" x14ac:dyDescent="0.25">
      <c r="A391" s="3"/>
      <c r="B391" s="3"/>
      <c r="C391" s="34"/>
      <c r="D391" s="43" t="s">
        <v>343</v>
      </c>
      <c r="E391" s="37">
        <v>2000000</v>
      </c>
      <c r="F391" s="36"/>
    </row>
    <row r="392" spans="1:6" ht="14.25" customHeight="1" x14ac:dyDescent="0.25">
      <c r="A392" s="3"/>
      <c r="B392" s="3"/>
      <c r="C392" s="34"/>
      <c r="D392" s="43" t="s">
        <v>344</v>
      </c>
      <c r="E392" s="37">
        <v>5000000</v>
      </c>
      <c r="F392" s="36"/>
    </row>
    <row r="393" spans="1:6" ht="18" customHeight="1" x14ac:dyDescent="0.25">
      <c r="A393" s="3"/>
      <c r="B393" s="3"/>
      <c r="C393" s="34"/>
      <c r="D393" s="43" t="s">
        <v>414</v>
      </c>
      <c r="E393" s="37">
        <v>2000000</v>
      </c>
      <c r="F393" s="36"/>
    </row>
    <row r="394" spans="1:6" hidden="1" x14ac:dyDescent="0.25">
      <c r="A394" s="5">
        <v>3</v>
      </c>
      <c r="B394" s="5">
        <v>3</v>
      </c>
      <c r="C394" s="53" t="s">
        <v>89</v>
      </c>
      <c r="D394" s="12" t="s">
        <v>345</v>
      </c>
      <c r="E394" s="75"/>
      <c r="F394" s="46"/>
    </row>
    <row r="395" spans="1:6" ht="30" hidden="1" x14ac:dyDescent="0.25">
      <c r="A395" s="5">
        <v>3</v>
      </c>
      <c r="B395" s="5">
        <v>3</v>
      </c>
      <c r="C395" s="53" t="s">
        <v>98</v>
      </c>
      <c r="D395" s="12" t="s">
        <v>346</v>
      </c>
      <c r="E395" s="75"/>
      <c r="F395" s="46"/>
    </row>
    <row r="396" spans="1:6" ht="30" hidden="1" x14ac:dyDescent="0.25">
      <c r="A396" s="5">
        <v>3</v>
      </c>
      <c r="B396" s="5">
        <v>3</v>
      </c>
      <c r="C396" s="53" t="s">
        <v>109</v>
      </c>
      <c r="D396" s="12" t="s">
        <v>347</v>
      </c>
      <c r="E396" s="75"/>
      <c r="F396" s="46"/>
    </row>
    <row r="397" spans="1:6" ht="30" hidden="1" x14ac:dyDescent="0.25">
      <c r="A397" s="3">
        <v>3</v>
      </c>
      <c r="B397" s="3">
        <v>3</v>
      </c>
      <c r="C397" s="34" t="s">
        <v>122</v>
      </c>
      <c r="D397" s="2" t="s">
        <v>348</v>
      </c>
      <c r="E397" s="35">
        <f>E398</f>
        <v>0</v>
      </c>
      <c r="F397" s="3" t="s">
        <v>1</v>
      </c>
    </row>
    <row r="398" spans="1:6" hidden="1" x14ac:dyDescent="0.25">
      <c r="A398" s="5"/>
      <c r="B398" s="5"/>
      <c r="C398" s="53"/>
      <c r="D398" s="222" t="s">
        <v>349</v>
      </c>
      <c r="E398" s="50">
        <v>0</v>
      </c>
      <c r="F398" s="42" t="s">
        <v>1</v>
      </c>
    </row>
    <row r="399" spans="1:6" hidden="1" x14ac:dyDescent="0.25">
      <c r="A399" s="3">
        <v>3</v>
      </c>
      <c r="B399" s="3">
        <v>3</v>
      </c>
      <c r="C399" s="34" t="s">
        <v>125</v>
      </c>
      <c r="D399" s="2" t="s">
        <v>350</v>
      </c>
      <c r="E399" s="35">
        <f>SUM(E400:E400)</f>
        <v>0</v>
      </c>
      <c r="F399" s="3" t="s">
        <v>1</v>
      </c>
    </row>
    <row r="400" spans="1:6" hidden="1" x14ac:dyDescent="0.25">
      <c r="A400" s="3"/>
      <c r="B400" s="3"/>
      <c r="C400" s="34"/>
      <c r="D400" s="207" t="s">
        <v>351</v>
      </c>
      <c r="E400" s="37">
        <v>0</v>
      </c>
      <c r="F400" s="36" t="s">
        <v>1</v>
      </c>
    </row>
    <row r="401" spans="1:6" x14ac:dyDescent="0.25">
      <c r="A401" s="125">
        <v>3</v>
      </c>
      <c r="B401" s="125">
        <v>4</v>
      </c>
      <c r="C401" s="125"/>
      <c r="D401" s="16" t="s">
        <v>63</v>
      </c>
      <c r="E401" s="126">
        <f>E402+E403+E406</f>
        <v>10000000</v>
      </c>
      <c r="F401" s="125"/>
    </row>
    <row r="402" spans="1:6" ht="16.5" hidden="1" customHeight="1" x14ac:dyDescent="0.25">
      <c r="A402" s="5">
        <v>3</v>
      </c>
      <c r="B402" s="5">
        <v>4</v>
      </c>
      <c r="C402" s="53" t="s">
        <v>85</v>
      </c>
      <c r="D402" s="12" t="s">
        <v>352</v>
      </c>
      <c r="E402" s="54"/>
      <c r="F402" s="46"/>
    </row>
    <row r="403" spans="1:6" ht="20.25" customHeight="1" x14ac:dyDescent="0.25">
      <c r="A403" s="5">
        <v>3</v>
      </c>
      <c r="B403" s="5">
        <v>4</v>
      </c>
      <c r="C403" s="47" t="s">
        <v>89</v>
      </c>
      <c r="D403" s="12" t="s">
        <v>64</v>
      </c>
      <c r="E403" s="54">
        <f>SUM(E404:E405)</f>
        <v>5000000</v>
      </c>
      <c r="F403" s="5" t="s">
        <v>2</v>
      </c>
    </row>
    <row r="404" spans="1:6" ht="14.25" hidden="1" customHeight="1" x14ac:dyDescent="0.25">
      <c r="A404" s="5"/>
      <c r="B404" s="5"/>
      <c r="C404" s="47"/>
      <c r="D404" s="71" t="s">
        <v>353</v>
      </c>
      <c r="E404" s="50">
        <v>0</v>
      </c>
      <c r="F404" s="42" t="s">
        <v>0</v>
      </c>
    </row>
    <row r="405" spans="1:6" ht="11.25" customHeight="1" x14ac:dyDescent="0.25">
      <c r="A405" s="5"/>
      <c r="B405" s="5"/>
      <c r="C405" s="47"/>
      <c r="D405" s="71" t="s">
        <v>353</v>
      </c>
      <c r="E405" s="50">
        <v>5000000</v>
      </c>
      <c r="F405" s="42" t="s">
        <v>2</v>
      </c>
    </row>
    <row r="406" spans="1:6" x14ac:dyDescent="0.25">
      <c r="A406" s="5">
        <v>3</v>
      </c>
      <c r="B406" s="5">
        <v>4</v>
      </c>
      <c r="C406" s="53" t="s">
        <v>98</v>
      </c>
      <c r="D406" s="127" t="s">
        <v>65</v>
      </c>
      <c r="E406" s="54">
        <f>SUM(E407:E408)</f>
        <v>5000000</v>
      </c>
      <c r="F406" s="5"/>
    </row>
    <row r="407" spans="1:6" x14ac:dyDescent="0.25">
      <c r="A407" s="5"/>
      <c r="B407" s="5"/>
      <c r="C407" s="47"/>
      <c r="D407" s="71" t="s">
        <v>354</v>
      </c>
      <c r="E407" s="50">
        <v>5000000</v>
      </c>
      <c r="F407" s="42" t="s">
        <v>1</v>
      </c>
    </row>
    <row r="408" spans="1:6" hidden="1" x14ac:dyDescent="0.25">
      <c r="A408" s="5"/>
      <c r="B408" s="5"/>
      <c r="C408" s="47"/>
      <c r="D408" s="71"/>
      <c r="E408" s="50">
        <v>0</v>
      </c>
      <c r="F408" s="42" t="s">
        <v>6</v>
      </c>
    </row>
    <row r="409" spans="1:6" x14ac:dyDescent="0.25">
      <c r="A409" s="128">
        <v>4</v>
      </c>
      <c r="B409" s="129"/>
      <c r="C409" s="129"/>
      <c r="D409" s="14" t="s">
        <v>66</v>
      </c>
      <c r="E409" s="130">
        <f>E410+E415+E428+E433+E441+E448+E452</f>
        <v>71000000</v>
      </c>
      <c r="F409" s="129"/>
    </row>
    <row r="410" spans="1:6" hidden="1" x14ac:dyDescent="0.25">
      <c r="A410" s="125">
        <v>4</v>
      </c>
      <c r="B410" s="125">
        <v>1</v>
      </c>
      <c r="C410" s="125"/>
      <c r="D410" s="16" t="s">
        <v>355</v>
      </c>
      <c r="E410" s="126">
        <f>E411+E413</f>
        <v>0</v>
      </c>
      <c r="F410" s="125" t="s">
        <v>3</v>
      </c>
    </row>
    <row r="411" spans="1:6" hidden="1" x14ac:dyDescent="0.25">
      <c r="A411" s="5">
        <v>4</v>
      </c>
      <c r="B411" s="5">
        <v>1</v>
      </c>
      <c r="C411" s="53" t="s">
        <v>122</v>
      </c>
      <c r="D411" s="12" t="s">
        <v>356</v>
      </c>
      <c r="E411" s="75">
        <v>0</v>
      </c>
      <c r="F411" s="46"/>
    </row>
    <row r="412" spans="1:6" hidden="1" x14ac:dyDescent="0.25">
      <c r="A412" s="5"/>
      <c r="B412" s="5"/>
      <c r="C412" s="53"/>
      <c r="D412" s="12"/>
      <c r="E412" s="75"/>
      <c r="F412" s="46"/>
    </row>
    <row r="413" spans="1:6" ht="30" hidden="1" x14ac:dyDescent="0.25">
      <c r="A413" s="3">
        <v>4</v>
      </c>
      <c r="B413" s="3">
        <v>1</v>
      </c>
      <c r="C413" s="34" t="s">
        <v>125</v>
      </c>
      <c r="D413" s="2" t="s">
        <v>357</v>
      </c>
      <c r="E413" s="109">
        <f>SUM(E414:E414)</f>
        <v>0</v>
      </c>
      <c r="F413" s="97"/>
    </row>
    <row r="414" spans="1:6" hidden="1" x14ac:dyDescent="0.25">
      <c r="A414" s="5"/>
      <c r="B414" s="5"/>
      <c r="C414" s="53"/>
      <c r="D414" s="12"/>
      <c r="E414" s="75"/>
      <c r="F414" s="46"/>
    </row>
    <row r="415" spans="1:6" x14ac:dyDescent="0.25">
      <c r="A415" s="125">
        <v>4</v>
      </c>
      <c r="B415" s="125">
        <v>2</v>
      </c>
      <c r="C415" s="131"/>
      <c r="D415" s="16" t="s">
        <v>67</v>
      </c>
      <c r="E415" s="126">
        <f>E416+E418+E422+E424</f>
        <v>60000000</v>
      </c>
      <c r="F415" s="125" t="s">
        <v>3</v>
      </c>
    </row>
    <row r="416" spans="1:6" ht="30" x14ac:dyDescent="0.25">
      <c r="A416" s="3">
        <v>4</v>
      </c>
      <c r="B416" s="97">
        <v>2</v>
      </c>
      <c r="C416" s="132" t="s">
        <v>85</v>
      </c>
      <c r="D416" s="107" t="s">
        <v>358</v>
      </c>
      <c r="E416" s="35">
        <f>E417</f>
        <v>5000000</v>
      </c>
      <c r="F416" s="46"/>
    </row>
    <row r="417" spans="1:7" x14ac:dyDescent="0.25">
      <c r="A417" s="5"/>
      <c r="B417" s="46"/>
      <c r="C417" s="47"/>
      <c r="D417" s="71" t="s">
        <v>359</v>
      </c>
      <c r="E417" s="40">
        <v>5000000</v>
      </c>
      <c r="F417" s="36" t="s">
        <v>3</v>
      </c>
      <c r="G417" s="173">
        <f>E417/50000</f>
        <v>100</v>
      </c>
    </row>
    <row r="418" spans="1:7" ht="30" x14ac:dyDescent="0.25">
      <c r="A418" s="3">
        <v>4</v>
      </c>
      <c r="B418" s="3">
        <v>2</v>
      </c>
      <c r="C418" s="34" t="s">
        <v>89</v>
      </c>
      <c r="D418" s="2" t="s">
        <v>68</v>
      </c>
      <c r="E418" s="35">
        <f>SUM(E419:E421)</f>
        <v>55000000</v>
      </c>
      <c r="F418" s="76" t="s">
        <v>3</v>
      </c>
    </row>
    <row r="419" spans="1:7" x14ac:dyDescent="0.25">
      <c r="A419" s="3"/>
      <c r="B419" s="97"/>
      <c r="C419" s="132"/>
      <c r="D419" s="43" t="s">
        <v>600</v>
      </c>
      <c r="E419" s="51">
        <v>55000000</v>
      </c>
      <c r="F419" s="42"/>
    </row>
    <row r="420" spans="1:7" hidden="1" x14ac:dyDescent="0.25">
      <c r="A420" s="133"/>
      <c r="B420" s="134"/>
      <c r="C420" s="135"/>
      <c r="D420" s="136" t="s">
        <v>360</v>
      </c>
      <c r="E420" s="137">
        <v>0</v>
      </c>
      <c r="F420" s="138"/>
    </row>
    <row r="421" spans="1:7" hidden="1" x14ac:dyDescent="0.25">
      <c r="A421" s="5"/>
      <c r="B421" s="46"/>
      <c r="C421" s="47"/>
      <c r="D421" s="71" t="s">
        <v>361</v>
      </c>
      <c r="E421" s="50">
        <v>0</v>
      </c>
      <c r="F421" s="42"/>
    </row>
    <row r="422" spans="1:7" hidden="1" x14ac:dyDescent="0.25">
      <c r="A422" s="3">
        <v>4</v>
      </c>
      <c r="B422" s="97">
        <v>2</v>
      </c>
      <c r="C422" s="132" t="s">
        <v>98</v>
      </c>
      <c r="D422" s="107" t="s">
        <v>362</v>
      </c>
      <c r="E422" s="35">
        <f>E423</f>
        <v>0</v>
      </c>
      <c r="F422" s="3" t="s">
        <v>3</v>
      </c>
    </row>
    <row r="423" spans="1:7" hidden="1" x14ac:dyDescent="0.25">
      <c r="A423" s="5"/>
      <c r="B423" s="46"/>
      <c r="C423" s="47"/>
      <c r="D423" s="71" t="s">
        <v>363</v>
      </c>
      <c r="E423" s="50">
        <v>0</v>
      </c>
      <c r="F423" s="42" t="s">
        <v>3</v>
      </c>
    </row>
    <row r="424" spans="1:7" ht="30" hidden="1" x14ac:dyDescent="0.25">
      <c r="A424" s="3">
        <v>4</v>
      </c>
      <c r="B424" s="97">
        <v>2</v>
      </c>
      <c r="C424" s="132" t="s">
        <v>122</v>
      </c>
      <c r="D424" s="107" t="s">
        <v>364</v>
      </c>
      <c r="E424" s="35">
        <f>SUM(E425:E427)</f>
        <v>0</v>
      </c>
      <c r="F424" s="76" t="s">
        <v>3</v>
      </c>
    </row>
    <row r="425" spans="1:7" hidden="1" x14ac:dyDescent="0.25">
      <c r="A425" s="5"/>
      <c r="B425" s="46"/>
      <c r="C425" s="47"/>
      <c r="D425" s="71" t="s">
        <v>365</v>
      </c>
      <c r="E425" s="50">
        <v>0</v>
      </c>
      <c r="F425" s="42"/>
    </row>
    <row r="426" spans="1:7" hidden="1" x14ac:dyDescent="0.25">
      <c r="A426" s="5"/>
      <c r="B426" s="46"/>
      <c r="C426" s="47"/>
      <c r="D426" s="71"/>
      <c r="E426" s="50"/>
      <c r="F426" s="42"/>
    </row>
    <row r="427" spans="1:7" hidden="1" x14ac:dyDescent="0.25">
      <c r="A427" s="5"/>
      <c r="B427" s="46"/>
      <c r="C427" s="47"/>
      <c r="D427" s="71"/>
      <c r="E427" s="50"/>
      <c r="F427" s="42"/>
    </row>
    <row r="428" spans="1:7" x14ac:dyDescent="0.25">
      <c r="A428" s="125">
        <v>4</v>
      </c>
      <c r="B428" s="125">
        <v>3</v>
      </c>
      <c r="C428" s="125"/>
      <c r="D428" s="16" t="s">
        <v>69</v>
      </c>
      <c r="E428" s="126">
        <f>SUM(E429:E432)</f>
        <v>6000000</v>
      </c>
      <c r="F428" s="125" t="s">
        <v>0</v>
      </c>
    </row>
    <row r="429" spans="1:7" x14ac:dyDescent="0.25">
      <c r="A429" s="5">
        <v>4</v>
      </c>
      <c r="B429" s="5">
        <v>3</v>
      </c>
      <c r="C429" s="47" t="s">
        <v>85</v>
      </c>
      <c r="D429" s="17" t="s">
        <v>70</v>
      </c>
      <c r="E429" s="91">
        <v>2000000</v>
      </c>
      <c r="F429" s="46" t="s">
        <v>0</v>
      </c>
    </row>
    <row r="430" spans="1:7" x14ac:dyDescent="0.25">
      <c r="A430" s="5">
        <v>4</v>
      </c>
      <c r="B430" s="5">
        <v>3</v>
      </c>
      <c r="C430" s="47" t="s">
        <v>89</v>
      </c>
      <c r="D430" s="17" t="s">
        <v>71</v>
      </c>
      <c r="E430" s="91">
        <v>2500000</v>
      </c>
      <c r="F430" s="46" t="s">
        <v>0</v>
      </c>
    </row>
    <row r="431" spans="1:7" hidden="1" x14ac:dyDescent="0.25">
      <c r="A431" s="5"/>
      <c r="B431" s="5"/>
      <c r="C431" s="47"/>
      <c r="D431" s="17" t="s">
        <v>71</v>
      </c>
      <c r="E431" s="270">
        <v>0</v>
      </c>
      <c r="F431" s="46" t="s">
        <v>1</v>
      </c>
    </row>
    <row r="432" spans="1:7" x14ac:dyDescent="0.25">
      <c r="A432" s="5">
        <v>4</v>
      </c>
      <c r="B432" s="5">
        <v>3</v>
      </c>
      <c r="C432" s="47" t="s">
        <v>98</v>
      </c>
      <c r="D432" s="17" t="s">
        <v>72</v>
      </c>
      <c r="E432" s="91">
        <v>1500000</v>
      </c>
      <c r="F432" s="46" t="s">
        <v>1</v>
      </c>
    </row>
    <row r="433" spans="1:7" ht="30" x14ac:dyDescent="0.25">
      <c r="A433" s="121">
        <v>4</v>
      </c>
      <c r="B433" s="121">
        <v>4</v>
      </c>
      <c r="C433" s="139"/>
      <c r="D433" s="140" t="s">
        <v>73</v>
      </c>
      <c r="E433" s="122">
        <f>E434+E437+E439</f>
        <v>5000000</v>
      </c>
      <c r="F433" s="121" t="s">
        <v>1</v>
      </c>
    </row>
    <row r="434" spans="1:7" x14ac:dyDescent="0.25">
      <c r="A434" s="5">
        <v>4</v>
      </c>
      <c r="B434" s="5">
        <v>4</v>
      </c>
      <c r="C434" s="47" t="s">
        <v>85</v>
      </c>
      <c r="D434" s="12" t="s">
        <v>74</v>
      </c>
      <c r="E434" s="54">
        <f>SUM(E435:E436)</f>
        <v>5000000</v>
      </c>
      <c r="F434" s="46" t="s">
        <v>1</v>
      </c>
    </row>
    <row r="435" spans="1:7" ht="14.25" customHeight="1" x14ac:dyDescent="0.25">
      <c r="A435" s="5"/>
      <c r="B435" s="5"/>
      <c r="C435" s="47"/>
      <c r="D435" s="71" t="s">
        <v>366</v>
      </c>
      <c r="E435" s="50">
        <v>5000000</v>
      </c>
      <c r="F435" s="52" t="s">
        <v>1</v>
      </c>
      <c r="G435" t="s">
        <v>3</v>
      </c>
    </row>
    <row r="436" spans="1:7" hidden="1" x14ac:dyDescent="0.25">
      <c r="A436" s="5"/>
      <c r="B436" s="5"/>
      <c r="C436" s="47"/>
      <c r="D436" s="71"/>
      <c r="E436" s="50"/>
      <c r="F436" s="42"/>
    </row>
    <row r="437" spans="1:7" hidden="1" x14ac:dyDescent="0.25">
      <c r="A437" s="5">
        <v>4</v>
      </c>
      <c r="B437" s="5">
        <v>4</v>
      </c>
      <c r="C437" s="47" t="s">
        <v>89</v>
      </c>
      <c r="D437" s="12" t="s">
        <v>367</v>
      </c>
      <c r="E437" s="54">
        <f>E438</f>
        <v>0</v>
      </c>
      <c r="F437" s="46" t="s">
        <v>3</v>
      </c>
    </row>
    <row r="438" spans="1:7" hidden="1" x14ac:dyDescent="0.25">
      <c r="A438" s="5"/>
      <c r="B438" s="5"/>
      <c r="C438" s="47"/>
      <c r="D438" s="71"/>
      <c r="E438" s="50"/>
      <c r="F438" s="42"/>
    </row>
    <row r="439" spans="1:7" hidden="1" x14ac:dyDescent="0.25">
      <c r="A439" s="5">
        <v>4</v>
      </c>
      <c r="B439" s="5">
        <v>4</v>
      </c>
      <c r="C439" s="47" t="s">
        <v>98</v>
      </c>
      <c r="D439" s="12" t="s">
        <v>368</v>
      </c>
      <c r="E439" s="54">
        <f>SUM(E440)</f>
        <v>0</v>
      </c>
      <c r="F439" s="46" t="s">
        <v>3</v>
      </c>
    </row>
    <row r="440" spans="1:7" hidden="1" x14ac:dyDescent="0.25">
      <c r="A440" s="5"/>
      <c r="B440" s="5"/>
      <c r="C440" s="47"/>
      <c r="D440" s="12"/>
      <c r="E440" s="54"/>
      <c r="F440" s="46"/>
    </row>
    <row r="441" spans="1:7" hidden="1" x14ac:dyDescent="0.25">
      <c r="A441" s="125">
        <v>4</v>
      </c>
      <c r="B441" s="125">
        <v>5</v>
      </c>
      <c r="C441" s="125"/>
      <c r="D441" s="16" t="s">
        <v>369</v>
      </c>
      <c r="E441" s="126">
        <f>E442+E444+E446</f>
        <v>0</v>
      </c>
      <c r="F441" s="125" t="s">
        <v>3</v>
      </c>
    </row>
    <row r="442" spans="1:7" hidden="1" x14ac:dyDescent="0.25">
      <c r="A442" s="3">
        <v>4</v>
      </c>
      <c r="B442" s="3">
        <v>5</v>
      </c>
      <c r="C442" s="132" t="s">
        <v>85</v>
      </c>
      <c r="D442" s="2" t="s">
        <v>370</v>
      </c>
      <c r="E442" s="35">
        <f>E443</f>
        <v>0</v>
      </c>
      <c r="F442" s="97"/>
    </row>
    <row r="443" spans="1:7" hidden="1" x14ac:dyDescent="0.25">
      <c r="A443" s="5"/>
      <c r="B443" s="5"/>
      <c r="C443" s="47"/>
      <c r="D443" s="12"/>
      <c r="E443" s="54"/>
      <c r="F443" s="46"/>
    </row>
    <row r="444" spans="1:7" hidden="1" x14ac:dyDescent="0.25">
      <c r="A444" s="3">
        <v>4</v>
      </c>
      <c r="B444" s="3">
        <v>5</v>
      </c>
      <c r="C444" s="132" t="s">
        <v>89</v>
      </c>
      <c r="D444" s="2" t="s">
        <v>371</v>
      </c>
      <c r="E444" s="35">
        <f>E445</f>
        <v>0</v>
      </c>
      <c r="F444" s="97"/>
    </row>
    <row r="445" spans="1:7" hidden="1" x14ac:dyDescent="0.25">
      <c r="A445" s="3"/>
      <c r="B445" s="3"/>
      <c r="C445" s="132"/>
      <c r="D445" s="2"/>
      <c r="E445" s="35"/>
      <c r="F445" s="97"/>
    </row>
    <row r="446" spans="1:7" ht="30" hidden="1" x14ac:dyDescent="0.25">
      <c r="A446" s="3">
        <v>4</v>
      </c>
      <c r="B446" s="3">
        <v>5</v>
      </c>
      <c r="C446" s="132" t="s">
        <v>98</v>
      </c>
      <c r="D446" s="2" t="s">
        <v>372</v>
      </c>
      <c r="E446" s="35">
        <f>E447</f>
        <v>0</v>
      </c>
      <c r="F446" s="97"/>
    </row>
    <row r="447" spans="1:7" hidden="1" x14ac:dyDescent="0.25">
      <c r="A447" s="3"/>
      <c r="B447" s="3"/>
      <c r="C447" s="132"/>
      <c r="D447" s="2"/>
      <c r="E447" s="35"/>
      <c r="F447" s="97"/>
    </row>
    <row r="448" spans="1:7" hidden="1" x14ac:dyDescent="0.25">
      <c r="A448" s="125">
        <v>4</v>
      </c>
      <c r="B448" s="125">
        <v>6</v>
      </c>
      <c r="C448" s="125"/>
      <c r="D448" s="16" t="s">
        <v>373</v>
      </c>
      <c r="E448" s="126">
        <f>E449</f>
        <v>0</v>
      </c>
      <c r="F448" s="125" t="s">
        <v>3</v>
      </c>
    </row>
    <row r="449" spans="1:9" hidden="1" x14ac:dyDescent="0.25">
      <c r="A449" s="3">
        <v>4</v>
      </c>
      <c r="B449" s="3">
        <v>6</v>
      </c>
      <c r="C449" s="132" t="s">
        <v>89</v>
      </c>
      <c r="D449" s="2" t="s">
        <v>374</v>
      </c>
      <c r="E449" s="109">
        <f>SUM(E450:E451)</f>
        <v>0</v>
      </c>
      <c r="F449" s="97"/>
    </row>
    <row r="450" spans="1:9" hidden="1" x14ac:dyDescent="0.25">
      <c r="A450" s="5"/>
      <c r="B450" s="5"/>
      <c r="C450" s="46"/>
      <c r="D450" s="12"/>
      <c r="E450" s="75"/>
      <c r="F450" s="46"/>
    </row>
    <row r="451" spans="1:9" hidden="1" x14ac:dyDescent="0.25">
      <c r="A451" s="5"/>
      <c r="B451" s="5"/>
      <c r="C451" s="47"/>
      <c r="D451" s="71"/>
      <c r="E451" s="50"/>
      <c r="F451" s="42"/>
    </row>
    <row r="452" spans="1:9" hidden="1" x14ac:dyDescent="0.25">
      <c r="A452" s="125">
        <v>4</v>
      </c>
      <c r="B452" s="125">
        <v>7</v>
      </c>
      <c r="C452" s="125"/>
      <c r="D452" s="16" t="s">
        <v>375</v>
      </c>
      <c r="E452" s="126">
        <f>E453+E456</f>
        <v>0</v>
      </c>
      <c r="F452" s="125"/>
    </row>
    <row r="453" spans="1:9" ht="30" hidden="1" x14ac:dyDescent="0.25">
      <c r="A453" s="3">
        <v>4</v>
      </c>
      <c r="B453" s="3">
        <v>7</v>
      </c>
      <c r="C453" s="34" t="s">
        <v>89</v>
      </c>
      <c r="D453" s="2" t="s">
        <v>376</v>
      </c>
      <c r="E453" s="35">
        <f>SUM(E454:E455)</f>
        <v>0</v>
      </c>
      <c r="F453" s="3" t="s">
        <v>3</v>
      </c>
    </row>
    <row r="454" spans="1:9" hidden="1" x14ac:dyDescent="0.25">
      <c r="A454" s="46"/>
      <c r="B454" s="46"/>
      <c r="C454" s="46"/>
      <c r="D454" s="71" t="s">
        <v>565</v>
      </c>
      <c r="E454" s="51">
        <v>0</v>
      </c>
      <c r="F454" s="42" t="s">
        <v>3</v>
      </c>
    </row>
    <row r="455" spans="1:9" hidden="1" x14ac:dyDescent="0.25">
      <c r="A455" s="46"/>
      <c r="B455" s="46"/>
      <c r="C455" s="46"/>
      <c r="D455" s="71"/>
      <c r="E455" s="50"/>
      <c r="F455" s="42"/>
    </row>
    <row r="456" spans="1:9" ht="30" hidden="1" x14ac:dyDescent="0.25">
      <c r="A456" s="3">
        <v>4</v>
      </c>
      <c r="B456" s="3">
        <v>7</v>
      </c>
      <c r="C456" s="34" t="s">
        <v>109</v>
      </c>
      <c r="D456" s="2" t="s">
        <v>378</v>
      </c>
      <c r="E456" s="35">
        <f>SUM(E457:E458)</f>
        <v>0</v>
      </c>
      <c r="F456" s="3" t="s">
        <v>3</v>
      </c>
    </row>
    <row r="457" spans="1:9" hidden="1" x14ac:dyDescent="0.25">
      <c r="A457" s="46"/>
      <c r="B457" s="46"/>
      <c r="C457" s="46"/>
      <c r="D457" s="71" t="s">
        <v>379</v>
      </c>
      <c r="E457" s="50">
        <v>0</v>
      </c>
      <c r="F457" s="42"/>
    </row>
    <row r="458" spans="1:9" hidden="1" x14ac:dyDescent="0.25">
      <c r="A458" s="46"/>
      <c r="B458" s="46"/>
      <c r="C458" s="46"/>
      <c r="D458" s="71"/>
      <c r="E458" s="50"/>
      <c r="F458" s="42"/>
    </row>
    <row r="459" spans="1:9" ht="27" x14ac:dyDescent="0.25">
      <c r="A459" s="141">
        <v>5</v>
      </c>
      <c r="B459" s="141"/>
      <c r="C459" s="141"/>
      <c r="D459" s="18" t="s">
        <v>75</v>
      </c>
      <c r="E459" s="142">
        <f>E460+E462+E464</f>
        <v>113000000</v>
      </c>
      <c r="F459" s="141"/>
    </row>
    <row r="460" spans="1:9" x14ac:dyDescent="0.25">
      <c r="A460" s="19">
        <v>5</v>
      </c>
      <c r="B460" s="19">
        <v>1</v>
      </c>
      <c r="C460" s="19"/>
      <c r="D460" s="19" t="s">
        <v>76</v>
      </c>
      <c r="E460" s="143">
        <f>E461</f>
        <v>2500000</v>
      </c>
      <c r="F460" s="19"/>
    </row>
    <row r="461" spans="1:9" x14ac:dyDescent="0.25">
      <c r="A461" s="46">
        <v>5</v>
      </c>
      <c r="B461" s="46">
        <v>1</v>
      </c>
      <c r="C461" s="47" t="s">
        <v>380</v>
      </c>
      <c r="D461" s="46" t="s">
        <v>381</v>
      </c>
      <c r="E461" s="191">
        <v>2500000</v>
      </c>
      <c r="F461" s="271" t="s">
        <v>2</v>
      </c>
      <c r="G461" t="s">
        <v>3</v>
      </c>
    </row>
    <row r="462" spans="1:9" x14ac:dyDescent="0.25">
      <c r="A462" s="19">
        <v>5</v>
      </c>
      <c r="B462" s="19">
        <v>2</v>
      </c>
      <c r="C462" s="19"/>
      <c r="D462" s="19" t="s">
        <v>77</v>
      </c>
      <c r="E462" s="143">
        <f>E463</f>
        <v>2500000</v>
      </c>
      <c r="F462" s="19"/>
      <c r="G462" t="s">
        <v>3</v>
      </c>
    </row>
    <row r="463" spans="1:9" x14ac:dyDescent="0.25">
      <c r="A463" s="46">
        <v>5</v>
      </c>
      <c r="B463" s="46">
        <v>2</v>
      </c>
      <c r="C463" s="47" t="s">
        <v>380</v>
      </c>
      <c r="D463" s="46" t="s">
        <v>382</v>
      </c>
      <c r="E463" s="191">
        <v>2500000</v>
      </c>
      <c r="F463" s="271" t="s">
        <v>2</v>
      </c>
    </row>
    <row r="464" spans="1:9" x14ac:dyDescent="0.25">
      <c r="A464" s="19">
        <v>5</v>
      </c>
      <c r="B464" s="19">
        <v>3</v>
      </c>
      <c r="C464" s="19"/>
      <c r="D464" s="19" t="s">
        <v>78</v>
      </c>
      <c r="E464" s="143">
        <f>E465</f>
        <v>108000000</v>
      </c>
      <c r="F464" s="19"/>
      <c r="H464">
        <f>3600000*30</f>
        <v>108000000</v>
      </c>
      <c r="I464" s="173"/>
    </row>
    <row r="465" spans="1:9" x14ac:dyDescent="0.25">
      <c r="A465" s="46">
        <v>5</v>
      </c>
      <c r="B465" s="46">
        <v>3</v>
      </c>
      <c r="C465" s="47" t="s">
        <v>380</v>
      </c>
      <c r="D465" s="46" t="s">
        <v>383</v>
      </c>
      <c r="E465" s="75">
        <f>SUM(E466:E466)</f>
        <v>108000000</v>
      </c>
      <c r="F465" s="46" t="s">
        <v>3</v>
      </c>
      <c r="H465" s="173">
        <f>E466/M5*100</f>
        <v>9.5885789370882684</v>
      </c>
      <c r="I465" t="s">
        <v>397</v>
      </c>
    </row>
    <row r="466" spans="1:9" x14ac:dyDescent="0.25">
      <c r="A466" s="46"/>
      <c r="B466" s="46"/>
      <c r="C466" s="47"/>
      <c r="D466" s="55" t="s">
        <v>609</v>
      </c>
      <c r="E466" s="50">
        <v>108000000</v>
      </c>
      <c r="F466" s="42"/>
      <c r="H466" s="189">
        <f>E466/3600000</f>
        <v>30</v>
      </c>
      <c r="I466" t="s">
        <v>420</v>
      </c>
    </row>
    <row r="467" spans="1:9" x14ac:dyDescent="0.25">
      <c r="A467" s="144"/>
      <c r="B467" s="144"/>
      <c r="C467" s="144"/>
      <c r="D467" s="144" t="s">
        <v>385</v>
      </c>
      <c r="E467" s="145">
        <f>E468</f>
        <v>0</v>
      </c>
      <c r="F467" s="144"/>
    </row>
    <row r="468" spans="1:9" x14ac:dyDescent="0.25">
      <c r="A468" s="46"/>
      <c r="B468" s="46"/>
      <c r="C468" s="46"/>
      <c r="D468" s="46" t="s">
        <v>386</v>
      </c>
      <c r="E468" s="146">
        <v>0</v>
      </c>
      <c r="F468" s="46" t="s">
        <v>3</v>
      </c>
      <c r="H468">
        <f>30*12</f>
        <v>360</v>
      </c>
    </row>
    <row r="471" spans="1:9" x14ac:dyDescent="0.25">
      <c r="D471" s="192" t="s">
        <v>392</v>
      </c>
      <c r="E471" s="191">
        <f>E4+E157+E353+E409+E459</f>
        <v>2437064868</v>
      </c>
    </row>
    <row r="472" spans="1:9" x14ac:dyDescent="0.25">
      <c r="D472" s="192" t="s">
        <v>422</v>
      </c>
      <c r="E472" s="191">
        <f>E471+E467</f>
        <v>2437064868</v>
      </c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7322834645669292" header="0.31496062992125984" footer="0.31496062992125984"/>
  <pageSetup paperSize="5" scale="88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66"/>
  <sheetViews>
    <sheetView topLeftCell="A13" zoomScaleNormal="100" workbookViewId="0">
      <selection activeCell="E8" sqref="E8"/>
    </sheetView>
  </sheetViews>
  <sheetFormatPr defaultRowHeight="15" x14ac:dyDescent="0.25"/>
  <cols>
    <col min="1" max="1" width="3.5703125" customWidth="1"/>
    <col min="2" max="3" width="4.5703125" customWidth="1"/>
    <col min="4" max="4" width="58.7109375" customWidth="1"/>
    <col min="5" max="5" width="16.5703125" customWidth="1"/>
    <col min="6" max="6" width="14.85546875" customWidth="1"/>
    <col min="7" max="7" width="13.28515625" bestFit="1" customWidth="1"/>
    <col min="8" max="8" width="16.28515625" bestFit="1" customWidth="1"/>
    <col min="9" max="9" width="17.140625" customWidth="1"/>
    <col min="10" max="10" width="14.140625" customWidth="1"/>
    <col min="11" max="11" width="16.140625" customWidth="1"/>
    <col min="12" max="12" width="15.85546875" customWidth="1"/>
    <col min="13" max="13" width="15.140625" customWidth="1"/>
    <col min="14" max="14" width="13.140625" customWidth="1"/>
    <col min="15" max="15" width="14" customWidth="1"/>
    <col min="16" max="16" width="12.42578125" customWidth="1"/>
    <col min="17" max="17" width="15.42578125" bestFit="1" customWidth="1"/>
  </cols>
  <sheetData>
    <row r="1" spans="1:19" x14ac:dyDescent="0.25">
      <c r="A1" s="377" t="s">
        <v>533</v>
      </c>
      <c r="B1" s="377"/>
      <c r="C1" s="377"/>
      <c r="D1" s="377"/>
      <c r="E1" s="377"/>
      <c r="F1" s="377"/>
    </row>
    <row r="2" spans="1:19" x14ac:dyDescent="0.25">
      <c r="A2" s="378"/>
      <c r="B2" s="378"/>
      <c r="C2" s="378"/>
      <c r="D2" s="378"/>
      <c r="E2" s="378"/>
      <c r="F2" s="378"/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258" t="s">
        <v>80</v>
      </c>
    </row>
    <row r="4" spans="1:19" x14ac:dyDescent="0.25">
      <c r="A4" s="7">
        <v>1</v>
      </c>
      <c r="B4" s="7"/>
      <c r="C4" s="7"/>
      <c r="D4" s="7" t="s">
        <v>21</v>
      </c>
      <c r="E4" s="31">
        <f>E5+E74+E91+E111+E141</f>
        <v>1091995400</v>
      </c>
      <c r="F4" s="32"/>
      <c r="H4" s="147" t="s">
        <v>387</v>
      </c>
      <c r="I4" s="148" t="s">
        <v>0</v>
      </c>
      <c r="J4" s="148" t="s">
        <v>1</v>
      </c>
      <c r="K4" s="148" t="s">
        <v>2</v>
      </c>
      <c r="L4" s="149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2385017000</v>
      </c>
      <c r="S4" s="150"/>
    </row>
    <row r="5" spans="1:19" ht="32.25" customHeight="1" x14ac:dyDescent="0.25">
      <c r="A5" s="8">
        <v>1</v>
      </c>
      <c r="B5" s="8">
        <v>1</v>
      </c>
      <c r="C5" s="8"/>
      <c r="D5" s="6" t="s">
        <v>20</v>
      </c>
      <c r="E5" s="33">
        <f>E6+E11+E19+E33+E50+E53+E58+E69+E71</f>
        <v>781795400</v>
      </c>
      <c r="F5" s="8"/>
      <c r="H5" s="147" t="s">
        <v>391</v>
      </c>
      <c r="I5" s="151">
        <f>PAGU!B34</f>
        <v>619000000</v>
      </c>
      <c r="J5" s="151">
        <f>PAGU!C34</f>
        <v>132000000</v>
      </c>
      <c r="K5" s="151">
        <f>PAGU!E34</f>
        <v>31000000</v>
      </c>
      <c r="L5" s="151">
        <v>41000000</v>
      </c>
      <c r="M5" s="151">
        <f>PAGU!G34</f>
        <v>1326617000</v>
      </c>
      <c r="N5" s="152">
        <v>5000000</v>
      </c>
      <c r="O5" s="152">
        <f>PAGU!I34</f>
        <v>56400000</v>
      </c>
      <c r="P5" s="153">
        <f>PAGU!H34</f>
        <v>220000000</v>
      </c>
      <c r="Q5" s="154">
        <f>SUM(I5:P5)</f>
        <v>2431017000</v>
      </c>
    </row>
    <row r="6" spans="1:19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77111000</v>
      </c>
      <c r="F6" s="3" t="s">
        <v>0</v>
      </c>
      <c r="H6" s="147" t="s">
        <v>392</v>
      </c>
      <c r="I6" s="151">
        <f>E7+E8+E12+E13+E15+E16+E17+E19+E36+E38+E40+E48+E49+E51+E77+E84+E112+E126+E134+E423+E424</f>
        <v>629095400</v>
      </c>
      <c r="J6" s="151">
        <f>E43+E47+E54+E57+E76+E80+E82+E85+E92+E104+E116+E120+E121+E122+E131+E142+E145+E165+E353+E367+E370+E391+E393+E400+E425+E426</f>
        <v>135000000</v>
      </c>
      <c r="K6" s="151">
        <f>E45+E83+E101+E129+E371+E372++E384+E399</f>
        <v>34000000</v>
      </c>
      <c r="L6" s="151">
        <f>E9+E14+E18+E34+E37+E42+E44+E46+E52+E55+E56+E329</f>
        <v>46000000</v>
      </c>
      <c r="M6" s="151">
        <f>E58+E100+E155+E172+E182+E189+E195+E198+E202+E209+E212+E244+E246+E248+E261+E267+E271+E275+E287+E283+E295+E297+E299+E301+E303+E304+E309+E314+E317+E327+E328+E336+E344+E410+E412+E428+E455+E457+E459</f>
        <v>1230140000</v>
      </c>
      <c r="N6" s="151">
        <f>E41+E169</f>
        <v>7000000</v>
      </c>
      <c r="O6" s="151">
        <f>E69+E71</f>
        <v>56400000</v>
      </c>
      <c r="P6" s="155">
        <f>E88</f>
        <v>220000000</v>
      </c>
      <c r="Q6" s="156">
        <f>SUM(I6:P6)</f>
        <v>2357635400</v>
      </c>
      <c r="R6" s="79"/>
      <c r="S6" s="157"/>
    </row>
    <row r="7" spans="1:19" x14ac:dyDescent="0.25">
      <c r="A7" s="3"/>
      <c r="B7" s="3"/>
      <c r="C7" s="34"/>
      <c r="D7" s="36" t="s">
        <v>534</v>
      </c>
      <c r="E7" s="37">
        <f>F7*12</f>
        <v>49911000</v>
      </c>
      <c r="F7" s="37">
        <v>4159250</v>
      </c>
      <c r="H7" s="147"/>
      <c r="I7" s="155"/>
      <c r="J7" s="155"/>
      <c r="K7" s="155"/>
      <c r="L7" s="151"/>
      <c r="M7" s="155"/>
      <c r="N7" s="155"/>
      <c r="O7" s="155"/>
      <c r="P7" s="155"/>
      <c r="Q7" s="158">
        <f>Q5-Q6</f>
        <v>73381600</v>
      </c>
      <c r="R7" s="79"/>
      <c r="S7" s="79"/>
    </row>
    <row r="8" spans="1:19" x14ac:dyDescent="0.25">
      <c r="A8" s="3"/>
      <c r="B8" s="3"/>
      <c r="C8" s="34"/>
      <c r="D8" s="36" t="s">
        <v>505</v>
      </c>
      <c r="E8" s="37">
        <f>2150000*12</f>
        <v>25800000</v>
      </c>
      <c r="F8" s="37">
        <f>E8/12</f>
        <v>2150000</v>
      </c>
      <c r="H8" s="147" t="s">
        <v>393</v>
      </c>
      <c r="I8" s="152">
        <f>I5-I6</f>
        <v>-10095400</v>
      </c>
      <c r="J8" s="152">
        <f t="shared" ref="J8:P8" si="0">J5-J6</f>
        <v>-3000000</v>
      </c>
      <c r="K8" s="152">
        <f t="shared" si="0"/>
        <v>-3000000</v>
      </c>
      <c r="L8" s="152">
        <f t="shared" si="0"/>
        <v>-5000000</v>
      </c>
      <c r="M8" s="151">
        <f>M5-M6</f>
        <v>96477000</v>
      </c>
      <c r="N8" s="151">
        <f t="shared" si="0"/>
        <v>-2000000</v>
      </c>
      <c r="O8" s="151">
        <f t="shared" si="0"/>
        <v>0</v>
      </c>
      <c r="P8" s="155">
        <f t="shared" si="0"/>
        <v>0</v>
      </c>
      <c r="Q8" s="156"/>
      <c r="R8" s="79"/>
      <c r="S8" s="79"/>
    </row>
    <row r="9" spans="1:19" x14ac:dyDescent="0.25">
      <c r="A9" s="3"/>
      <c r="B9" s="3"/>
      <c r="C9" s="34"/>
      <c r="D9" s="36" t="s">
        <v>88</v>
      </c>
      <c r="E9" s="37">
        <v>1400000</v>
      </c>
      <c r="F9" s="36" t="s">
        <v>6</v>
      </c>
      <c r="H9" s="79"/>
      <c r="I9" s="79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x14ac:dyDescent="0.25">
      <c r="A10" s="3"/>
      <c r="B10" s="3"/>
      <c r="C10" s="34"/>
      <c r="D10" s="38"/>
      <c r="E10" s="37"/>
      <c r="F10" s="3"/>
      <c r="H10" s="26" t="s">
        <v>395</v>
      </c>
      <c r="I10" s="25">
        <f>Q6-P6-O6</f>
        <v>2081235400</v>
      </c>
      <c r="J10" s="79"/>
      <c r="K10" s="159">
        <f>J5+K5</f>
        <v>163000000</v>
      </c>
      <c r="L10" s="159"/>
      <c r="M10" s="79"/>
      <c r="N10" s="157"/>
      <c r="O10" s="157"/>
      <c r="P10" s="79"/>
      <c r="Q10" s="157"/>
      <c r="R10" s="79"/>
      <c r="S10" s="79"/>
    </row>
    <row r="11" spans="1:19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409537200</v>
      </c>
      <c r="F11" s="2" t="s">
        <v>90</v>
      </c>
      <c r="H11" s="160">
        <v>0.3</v>
      </c>
      <c r="I11" s="161">
        <f>I10*30%</f>
        <v>624370620</v>
      </c>
      <c r="K11" s="162">
        <f>J6+K6</f>
        <v>169000000</v>
      </c>
      <c r="L11" s="163"/>
      <c r="M11" s="164"/>
      <c r="Q11" s="165"/>
      <c r="R11" s="79"/>
      <c r="S11" s="79"/>
    </row>
    <row r="12" spans="1:19" x14ac:dyDescent="0.25">
      <c r="A12" s="3"/>
      <c r="B12" s="3"/>
      <c r="C12" s="34"/>
      <c r="D12" s="36" t="s">
        <v>535</v>
      </c>
      <c r="E12" s="37">
        <f>2911475*12</f>
        <v>34937700</v>
      </c>
      <c r="F12" s="39" t="s">
        <v>0</v>
      </c>
      <c r="H12" s="20" t="s">
        <v>396</v>
      </c>
      <c r="I12" s="166">
        <f>E5-E33-E58-E69-E71</f>
        <v>570475400</v>
      </c>
      <c r="J12" s="167">
        <f>I12/I10*100</f>
        <v>27.410421713949322</v>
      </c>
      <c r="K12" s="168" t="s">
        <v>397</v>
      </c>
      <c r="L12" s="169"/>
      <c r="M12" s="164"/>
      <c r="O12" s="164"/>
      <c r="P12" s="1"/>
      <c r="Q12" s="1"/>
      <c r="R12" s="79"/>
      <c r="S12" s="79"/>
    </row>
    <row r="13" spans="1:19" x14ac:dyDescent="0.25">
      <c r="A13" s="3"/>
      <c r="B13" s="3"/>
      <c r="C13" s="34"/>
      <c r="D13" s="36" t="s">
        <v>506</v>
      </c>
      <c r="E13" s="37">
        <f>1600000*12</f>
        <v>19200000</v>
      </c>
      <c r="F13" s="39" t="s">
        <v>0</v>
      </c>
      <c r="H13" s="20" t="s">
        <v>398</v>
      </c>
      <c r="I13" s="170">
        <f>I11-I12</f>
        <v>53895220</v>
      </c>
      <c r="K13" s="171"/>
      <c r="L13" s="169"/>
      <c r="M13" s="164"/>
      <c r="Q13" s="164"/>
      <c r="R13" s="79"/>
      <c r="S13" s="79"/>
    </row>
    <row r="14" spans="1:19" x14ac:dyDescent="0.25">
      <c r="A14" s="3"/>
      <c r="B14" s="3"/>
      <c r="C14" s="34"/>
      <c r="D14" s="36" t="s">
        <v>93</v>
      </c>
      <c r="E14" s="37">
        <v>1200000</v>
      </c>
      <c r="F14" s="39" t="s">
        <v>6</v>
      </c>
      <c r="H14" s="171"/>
      <c r="I14" s="172"/>
      <c r="J14" s="164"/>
      <c r="K14" s="171"/>
      <c r="L14" s="169"/>
      <c r="M14" s="164"/>
      <c r="Q14" s="164"/>
      <c r="R14" s="79"/>
      <c r="S14" s="79"/>
    </row>
    <row r="15" spans="1:19" x14ac:dyDescent="0.25">
      <c r="A15" s="3"/>
      <c r="B15" s="3"/>
      <c r="C15" s="34"/>
      <c r="D15" s="36" t="s">
        <v>536</v>
      </c>
      <c r="E15" s="37">
        <f>2079625*9*12</f>
        <v>224599500</v>
      </c>
      <c r="F15" s="36" t="s">
        <v>0</v>
      </c>
      <c r="H15" s="173"/>
      <c r="I15" s="173"/>
      <c r="M15" s="173"/>
      <c r="N15" s="164"/>
    </row>
    <row r="16" spans="1:19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H16" s="173"/>
      <c r="M16" s="173"/>
      <c r="N16" s="164"/>
    </row>
    <row r="17" spans="1:17" x14ac:dyDescent="0.25">
      <c r="A17" s="3"/>
      <c r="B17" s="3"/>
      <c r="C17" s="34"/>
      <c r="D17" s="36" t="s">
        <v>507</v>
      </c>
      <c r="E17" s="37">
        <f>1150000*9*12</f>
        <v>124200000</v>
      </c>
      <c r="F17" s="36" t="s">
        <v>0</v>
      </c>
      <c r="H17" s="173"/>
      <c r="I17" s="173">
        <f>H17/108</f>
        <v>0</v>
      </c>
      <c r="J17" s="384"/>
      <c r="K17" s="384"/>
    </row>
    <row r="18" spans="1:17" x14ac:dyDescent="0.25">
      <c r="A18" s="3"/>
      <c r="B18" s="3"/>
      <c r="C18" s="34"/>
      <c r="D18" s="36" t="s">
        <v>97</v>
      </c>
      <c r="E18" s="41">
        <v>5400000</v>
      </c>
      <c r="F18" s="42" t="s">
        <v>6</v>
      </c>
      <c r="H18" s="26"/>
      <c r="I18" s="174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SUM(E20:E32)</f>
        <v>19327200</v>
      </c>
      <c r="F19" s="3" t="s">
        <v>0</v>
      </c>
      <c r="H19" s="182" t="s">
        <v>390</v>
      </c>
      <c r="I19" s="176">
        <v>10095400</v>
      </c>
      <c r="J19" s="177">
        <v>3000000</v>
      </c>
      <c r="K19" s="177">
        <v>3000000</v>
      </c>
      <c r="L19" s="177">
        <v>5000000</v>
      </c>
      <c r="M19" s="176">
        <v>80833000</v>
      </c>
      <c r="N19" s="176">
        <v>2000000</v>
      </c>
      <c r="O19" s="176">
        <v>0</v>
      </c>
      <c r="P19" s="178">
        <v>0</v>
      </c>
      <c r="Q19" s="175"/>
    </row>
    <row r="20" spans="1:17" x14ac:dyDescent="0.25">
      <c r="A20" s="3"/>
      <c r="B20" s="3"/>
      <c r="C20" s="34"/>
      <c r="D20" s="43" t="s">
        <v>99</v>
      </c>
      <c r="E20" s="37"/>
      <c r="F20" s="3"/>
      <c r="H20" s="26" t="s">
        <v>399</v>
      </c>
      <c r="I20" s="381">
        <f>SUM(I19:N19)</f>
        <v>103928400</v>
      </c>
      <c r="J20" s="382"/>
      <c r="K20" s="382"/>
      <c r="L20" s="382"/>
      <c r="M20" s="382"/>
      <c r="N20" s="382"/>
      <c r="O20" s="382"/>
      <c r="P20" s="383"/>
      <c r="Q20" s="179"/>
    </row>
    <row r="21" spans="1:17" x14ac:dyDescent="0.25">
      <c r="A21" s="3"/>
      <c r="B21" s="3"/>
      <c r="C21" s="34"/>
      <c r="D21" s="43" t="s">
        <v>100</v>
      </c>
      <c r="E21" s="37">
        <f>F21*12</f>
        <v>1846800</v>
      </c>
      <c r="F21" s="44">
        <v>153900</v>
      </c>
      <c r="H21" s="180" t="s">
        <v>400</v>
      </c>
      <c r="I21" s="181">
        <f>I8+I19</f>
        <v>0</v>
      </c>
      <c r="J21" s="181">
        <f>J8+J19</f>
        <v>0</v>
      </c>
      <c r="K21" s="181">
        <f>K8+K19</f>
        <v>0</v>
      </c>
      <c r="L21" s="181">
        <f t="shared" ref="L21:M21" si="1">L8+L19</f>
        <v>0</v>
      </c>
      <c r="M21" s="181">
        <f t="shared" si="1"/>
        <v>177310000</v>
      </c>
      <c r="N21" s="181">
        <f>N8+N19</f>
        <v>0</v>
      </c>
      <c r="O21" s="181"/>
      <c r="P21" s="20"/>
      <c r="Q21" s="171"/>
    </row>
    <row r="22" spans="1:17" x14ac:dyDescent="0.25">
      <c r="A22" s="3"/>
      <c r="B22" s="3"/>
      <c r="C22" s="34"/>
      <c r="D22" s="43" t="s">
        <v>101</v>
      </c>
      <c r="E22" s="37">
        <f t="shared" ref="E22:E28" si="2">F22*12</f>
        <v>998400</v>
      </c>
      <c r="F22" s="44">
        <v>83200</v>
      </c>
      <c r="H22" s="26" t="s">
        <v>401</v>
      </c>
      <c r="I22" s="181">
        <f>I8+I19</f>
        <v>0</v>
      </c>
      <c r="J22" s="181">
        <f>J8+J19</f>
        <v>0</v>
      </c>
      <c r="K22" s="181">
        <f>K8+K19</f>
        <v>0</v>
      </c>
      <c r="L22" s="181">
        <f>L8+L19</f>
        <v>0</v>
      </c>
      <c r="M22" s="181">
        <f>M8+M19-E461</f>
        <v>177310000</v>
      </c>
      <c r="N22" s="181">
        <f>N8+N19</f>
        <v>0</v>
      </c>
      <c r="O22" s="181"/>
      <c r="P22" s="20"/>
    </row>
    <row r="23" spans="1:17" x14ac:dyDescent="0.25">
      <c r="A23" s="3"/>
      <c r="B23" s="3"/>
      <c r="C23" s="34"/>
      <c r="D23" s="43" t="s">
        <v>102</v>
      </c>
      <c r="E23" s="37">
        <f t="shared" si="2"/>
        <v>150000</v>
      </c>
      <c r="F23" s="44">
        <v>12500</v>
      </c>
    </row>
    <row r="24" spans="1:17" x14ac:dyDescent="0.25">
      <c r="A24" s="3"/>
      <c r="B24" s="3"/>
      <c r="C24" s="34"/>
      <c r="D24" s="43" t="s">
        <v>103</v>
      </c>
      <c r="E24" s="37">
        <f t="shared" si="2"/>
        <v>120000</v>
      </c>
      <c r="F24" s="44">
        <v>10000</v>
      </c>
    </row>
    <row r="25" spans="1:17" x14ac:dyDescent="0.25">
      <c r="A25" s="3"/>
      <c r="B25" s="3"/>
      <c r="C25" s="34"/>
      <c r="D25" s="43" t="s">
        <v>476</v>
      </c>
      <c r="E25" s="37">
        <f t="shared" si="2"/>
        <v>1293600</v>
      </c>
      <c r="F25" s="44">
        <v>107800</v>
      </c>
      <c r="J25" s="164"/>
    </row>
    <row r="26" spans="1:17" x14ac:dyDescent="0.25">
      <c r="A26" s="3"/>
      <c r="B26" s="3"/>
      <c r="C26" s="34"/>
      <c r="D26" s="43" t="s">
        <v>477</v>
      </c>
      <c r="E26" s="37">
        <f t="shared" si="2"/>
        <v>699600</v>
      </c>
      <c r="F26" s="44">
        <v>58300</v>
      </c>
    </row>
    <row r="27" spans="1:17" x14ac:dyDescent="0.25">
      <c r="A27" s="3"/>
      <c r="B27" s="3"/>
      <c r="C27" s="34"/>
      <c r="D27" s="43" t="s">
        <v>478</v>
      </c>
      <c r="E27" s="37">
        <f t="shared" si="2"/>
        <v>105600</v>
      </c>
      <c r="F27" s="44">
        <v>8800</v>
      </c>
    </row>
    <row r="28" spans="1:17" x14ac:dyDescent="0.25">
      <c r="A28" s="3"/>
      <c r="B28" s="3"/>
      <c r="C28" s="34"/>
      <c r="D28" s="43" t="s">
        <v>479</v>
      </c>
      <c r="E28" s="37">
        <f t="shared" si="2"/>
        <v>84000</v>
      </c>
      <c r="F28" s="44">
        <v>7000</v>
      </c>
    </row>
    <row r="29" spans="1:17" x14ac:dyDescent="0.25">
      <c r="A29" s="3"/>
      <c r="B29" s="3"/>
      <c r="C29" s="34"/>
      <c r="D29" s="43" t="s">
        <v>105</v>
      </c>
      <c r="E29" s="37">
        <f>F29*9*12</f>
        <v>8316000</v>
      </c>
      <c r="F29" s="44">
        <v>77000</v>
      </c>
    </row>
    <row r="30" spans="1:17" x14ac:dyDescent="0.25">
      <c r="A30" s="3"/>
      <c r="B30" s="3"/>
      <c r="C30" s="34"/>
      <c r="D30" s="43" t="s">
        <v>106</v>
      </c>
      <c r="E30" s="37">
        <f t="shared" ref="E30:E31" si="3">F30*9*12</f>
        <v>4492800</v>
      </c>
      <c r="F30" s="44">
        <v>41600</v>
      </c>
      <c r="I30" s="193"/>
    </row>
    <row r="31" spans="1:17" x14ac:dyDescent="0.25">
      <c r="A31" s="3"/>
      <c r="B31" s="3"/>
      <c r="C31" s="34"/>
      <c r="D31" s="43" t="s">
        <v>107</v>
      </c>
      <c r="E31" s="37">
        <f t="shared" si="3"/>
        <v>680400</v>
      </c>
      <c r="F31" s="44">
        <v>6300</v>
      </c>
    </row>
    <row r="32" spans="1:17" x14ac:dyDescent="0.25">
      <c r="A32" s="3"/>
      <c r="B32" s="3"/>
      <c r="C32" s="34"/>
      <c r="D32" s="43" t="s">
        <v>108</v>
      </c>
      <c r="E32" s="37">
        <f>F32*9*12</f>
        <v>540000</v>
      </c>
      <c r="F32" s="44">
        <v>5000</v>
      </c>
    </row>
    <row r="33" spans="1:8" x14ac:dyDescent="0.25">
      <c r="A33" s="3">
        <v>1</v>
      </c>
      <c r="B33" s="3">
        <v>1</v>
      </c>
      <c r="C33" s="34" t="s">
        <v>109</v>
      </c>
      <c r="D33" s="4" t="s">
        <v>16</v>
      </c>
      <c r="E33" s="45">
        <f>SUM(E34:E49)</f>
        <v>120920000</v>
      </c>
      <c r="F33" s="2"/>
    </row>
    <row r="34" spans="1:8" x14ac:dyDescent="0.25">
      <c r="A34" s="46"/>
      <c r="B34" s="46"/>
      <c r="C34" s="47"/>
      <c r="D34" s="48" t="s">
        <v>110</v>
      </c>
      <c r="E34" s="49">
        <v>7200000</v>
      </c>
      <c r="F34" s="42" t="s">
        <v>6</v>
      </c>
      <c r="G34" s="173">
        <f>E34/12</f>
        <v>600000</v>
      </c>
    </row>
    <row r="35" spans="1:8" hidden="1" x14ac:dyDescent="0.25">
      <c r="A35" s="46"/>
      <c r="B35" s="46"/>
      <c r="C35" s="47"/>
      <c r="D35" s="48" t="s">
        <v>110</v>
      </c>
      <c r="E35" s="49">
        <v>0</v>
      </c>
      <c r="F35" s="42" t="s">
        <v>111</v>
      </c>
    </row>
    <row r="36" spans="1:8" x14ac:dyDescent="0.25">
      <c r="A36" s="46"/>
      <c r="B36" s="46"/>
      <c r="C36" s="47"/>
      <c r="D36" s="48" t="s">
        <v>112</v>
      </c>
      <c r="E36" s="49">
        <v>10000000</v>
      </c>
      <c r="F36" s="48" t="s">
        <v>0</v>
      </c>
    </row>
    <row r="37" spans="1:8" x14ac:dyDescent="0.25">
      <c r="A37" s="46"/>
      <c r="B37" s="46"/>
      <c r="C37" s="47"/>
      <c r="D37" s="48" t="s">
        <v>113</v>
      </c>
      <c r="E37" s="49">
        <v>1200000</v>
      </c>
      <c r="F37" s="48" t="s">
        <v>6</v>
      </c>
      <c r="G37" s="173">
        <f>E37/12</f>
        <v>100000</v>
      </c>
    </row>
    <row r="38" spans="1:8" x14ac:dyDescent="0.25">
      <c r="A38" s="46"/>
      <c r="B38" s="46"/>
      <c r="C38" s="47"/>
      <c r="D38" s="42" t="s">
        <v>114</v>
      </c>
      <c r="E38" s="50">
        <v>720000</v>
      </c>
      <c r="F38" s="42" t="s">
        <v>0</v>
      </c>
    </row>
    <row r="39" spans="1:8" hidden="1" x14ac:dyDescent="0.25">
      <c r="A39" s="46"/>
      <c r="B39" s="46"/>
      <c r="C39" s="47"/>
      <c r="D39" s="42" t="s">
        <v>115</v>
      </c>
      <c r="E39" s="50">
        <v>0</v>
      </c>
      <c r="F39" s="42" t="s">
        <v>0</v>
      </c>
    </row>
    <row r="40" spans="1:8" x14ac:dyDescent="0.25">
      <c r="A40" s="46"/>
      <c r="B40" s="46"/>
      <c r="C40" s="47"/>
      <c r="D40" s="42" t="s">
        <v>116</v>
      </c>
      <c r="E40" s="50">
        <v>4000000</v>
      </c>
      <c r="F40" s="42" t="s">
        <v>0</v>
      </c>
    </row>
    <row r="41" spans="1:8" x14ac:dyDescent="0.25">
      <c r="A41" s="46"/>
      <c r="B41" s="46"/>
      <c r="C41" s="47"/>
      <c r="D41" s="48" t="s">
        <v>410</v>
      </c>
      <c r="E41" s="49">
        <v>6000000</v>
      </c>
      <c r="F41" s="42" t="s">
        <v>9</v>
      </c>
    </row>
    <row r="42" spans="1:8" x14ac:dyDescent="0.25">
      <c r="A42" s="46"/>
      <c r="B42" s="46"/>
      <c r="C42" s="46"/>
      <c r="D42" s="42" t="s">
        <v>117</v>
      </c>
      <c r="E42" s="50">
        <v>1100000</v>
      </c>
      <c r="F42" s="42" t="s">
        <v>6</v>
      </c>
    </row>
    <row r="43" spans="1:8" x14ac:dyDescent="0.25">
      <c r="A43" s="46"/>
      <c r="B43" s="46"/>
      <c r="C43" s="46"/>
      <c r="D43" s="42" t="s">
        <v>538</v>
      </c>
      <c r="E43" s="50">
        <v>5000000</v>
      </c>
      <c r="F43" s="42" t="s">
        <v>1</v>
      </c>
    </row>
    <row r="44" spans="1:8" x14ac:dyDescent="0.25">
      <c r="A44" s="46"/>
      <c r="B44" s="46"/>
      <c r="C44" s="46"/>
      <c r="D44" s="42" t="s">
        <v>539</v>
      </c>
      <c r="E44" s="50">
        <v>10000000</v>
      </c>
      <c r="F44" s="42" t="s">
        <v>6</v>
      </c>
      <c r="H44" s="173">
        <f>SUM(E43:E45)</f>
        <v>20000000</v>
      </c>
    </row>
    <row r="45" spans="1:8" x14ac:dyDescent="0.25">
      <c r="A45" s="46"/>
      <c r="B45" s="46"/>
      <c r="C45" s="46"/>
      <c r="D45" s="42" t="s">
        <v>540</v>
      </c>
      <c r="E45" s="50">
        <v>5000000</v>
      </c>
      <c r="F45" s="42" t="s">
        <v>2</v>
      </c>
    </row>
    <row r="46" spans="1:8" x14ac:dyDescent="0.25">
      <c r="A46" s="46"/>
      <c r="B46" s="46"/>
      <c r="C46" s="46"/>
      <c r="D46" s="42" t="s">
        <v>119</v>
      </c>
      <c r="E46" s="50">
        <v>10000000</v>
      </c>
      <c r="F46" s="42" t="s">
        <v>6</v>
      </c>
    </row>
    <row r="47" spans="1:8" x14ac:dyDescent="0.25">
      <c r="A47" s="46"/>
      <c r="B47" s="46"/>
      <c r="C47" s="46"/>
      <c r="D47" s="42" t="s">
        <v>120</v>
      </c>
      <c r="E47" s="50">
        <v>25800000</v>
      </c>
      <c r="F47" s="42" t="s">
        <v>1</v>
      </c>
    </row>
    <row r="48" spans="1:8" x14ac:dyDescent="0.25">
      <c r="A48" s="46"/>
      <c r="B48" s="46"/>
      <c r="C48" s="46"/>
      <c r="D48" s="42" t="s">
        <v>120</v>
      </c>
      <c r="E48" s="50">
        <v>25800000</v>
      </c>
      <c r="F48" s="42" t="s">
        <v>0</v>
      </c>
    </row>
    <row r="49" spans="1:9" x14ac:dyDescent="0.25">
      <c r="A49" s="46"/>
      <c r="B49" s="46"/>
      <c r="C49" s="46"/>
      <c r="D49" s="42" t="s">
        <v>537</v>
      </c>
      <c r="E49" s="50">
        <v>9100000</v>
      </c>
      <c r="F49" s="42" t="s">
        <v>0</v>
      </c>
    </row>
    <row r="50" spans="1:9" x14ac:dyDescent="0.25">
      <c r="A50" s="5">
        <v>1</v>
      </c>
      <c r="B50" s="5">
        <v>1</v>
      </c>
      <c r="C50" s="53" t="s">
        <v>122</v>
      </c>
      <c r="D50" s="5" t="s">
        <v>17</v>
      </c>
      <c r="E50" s="54">
        <f>SUM(E51:E52)</f>
        <v>56500000</v>
      </c>
      <c r="F50" s="5" t="s">
        <v>0</v>
      </c>
    </row>
    <row r="51" spans="1:9" x14ac:dyDescent="0.25">
      <c r="A51" s="5"/>
      <c r="B51" s="5"/>
      <c r="C51" s="53"/>
      <c r="D51" s="55" t="s">
        <v>123</v>
      </c>
      <c r="E51" s="50">
        <v>52500000</v>
      </c>
      <c r="F51" s="42" t="s">
        <v>0</v>
      </c>
      <c r="H51" t="s">
        <v>541</v>
      </c>
      <c r="I51" s="256">
        <f>950000*12</f>
        <v>11400000</v>
      </c>
    </row>
    <row r="52" spans="1:9" x14ac:dyDescent="0.25">
      <c r="A52" s="5"/>
      <c r="B52" s="5"/>
      <c r="C52" s="53"/>
      <c r="D52" s="55" t="s">
        <v>124</v>
      </c>
      <c r="E52" s="50">
        <v>4000000</v>
      </c>
      <c r="F52" s="42" t="s">
        <v>6</v>
      </c>
      <c r="H52" t="s">
        <v>525</v>
      </c>
      <c r="I52" s="256">
        <f>875000*12</f>
        <v>10500000</v>
      </c>
    </row>
    <row r="53" spans="1:9" x14ac:dyDescent="0.25">
      <c r="A53" s="5">
        <v>1</v>
      </c>
      <c r="B53" s="5">
        <v>1</v>
      </c>
      <c r="C53" s="53" t="s">
        <v>125</v>
      </c>
      <c r="D53" s="5" t="s">
        <v>18</v>
      </c>
      <c r="E53" s="54">
        <f>SUM(E54:E57)</f>
        <v>8000000</v>
      </c>
      <c r="F53" s="5" t="s">
        <v>135</v>
      </c>
      <c r="H53" t="s">
        <v>526</v>
      </c>
      <c r="I53" s="256">
        <f>I52</f>
        <v>10500000</v>
      </c>
    </row>
    <row r="54" spans="1:9" x14ac:dyDescent="0.25">
      <c r="A54" s="46"/>
      <c r="B54" s="46"/>
      <c r="C54" s="46"/>
      <c r="D54" s="42" t="s">
        <v>126</v>
      </c>
      <c r="E54" s="50">
        <v>1500000</v>
      </c>
      <c r="F54" s="42" t="s">
        <v>1</v>
      </c>
      <c r="G54" t="s">
        <v>6</v>
      </c>
      <c r="H54" t="s">
        <v>542</v>
      </c>
      <c r="I54" s="256">
        <f>837500*12</f>
        <v>10050000</v>
      </c>
    </row>
    <row r="55" spans="1:9" x14ac:dyDescent="0.25">
      <c r="A55" s="46"/>
      <c r="B55" s="46"/>
      <c r="C55" s="46"/>
      <c r="D55" s="42" t="s">
        <v>127</v>
      </c>
      <c r="E55" s="50">
        <v>1000000</v>
      </c>
      <c r="F55" s="42" t="s">
        <v>6</v>
      </c>
      <c r="H55" t="s">
        <v>542</v>
      </c>
      <c r="I55" s="256">
        <f>I54</f>
        <v>10050000</v>
      </c>
    </row>
    <row r="56" spans="1:9" x14ac:dyDescent="0.25">
      <c r="A56" s="46"/>
      <c r="B56" s="46"/>
      <c r="C56" s="46"/>
      <c r="D56" s="42" t="s">
        <v>128</v>
      </c>
      <c r="E56" s="50">
        <v>2500000</v>
      </c>
      <c r="F56" s="42" t="s">
        <v>6</v>
      </c>
      <c r="I56" s="257">
        <f>SUM(I51:I55)</f>
        <v>52500000</v>
      </c>
    </row>
    <row r="57" spans="1:9" x14ac:dyDescent="0.25">
      <c r="A57" s="46"/>
      <c r="B57" s="46"/>
      <c r="C57" s="46"/>
      <c r="D57" s="42" t="s">
        <v>129</v>
      </c>
      <c r="E57" s="50">
        <v>3000000</v>
      </c>
      <c r="F57" s="42" t="s">
        <v>1</v>
      </c>
      <c r="G57" t="s">
        <v>6</v>
      </c>
    </row>
    <row r="58" spans="1:9" x14ac:dyDescent="0.25">
      <c r="A58" s="5">
        <v>1</v>
      </c>
      <c r="B58" s="5">
        <v>1</v>
      </c>
      <c r="C58" s="53" t="s">
        <v>160</v>
      </c>
      <c r="D58" s="5" t="s">
        <v>438</v>
      </c>
      <c r="E58" s="54">
        <f>E59+E62+E65</f>
        <v>34000000</v>
      </c>
      <c r="F58" s="5" t="s">
        <v>3</v>
      </c>
      <c r="H58">
        <f>M5*3%</f>
        <v>39798510</v>
      </c>
    </row>
    <row r="59" spans="1:9" x14ac:dyDescent="0.25">
      <c r="A59" s="46"/>
      <c r="B59" s="46"/>
      <c r="C59" s="55" t="s">
        <v>85</v>
      </c>
      <c r="D59" s="63" t="s">
        <v>439</v>
      </c>
      <c r="E59" s="64">
        <f>E60+E61</f>
        <v>5000000</v>
      </c>
      <c r="F59" s="42"/>
    </row>
    <row r="60" spans="1:9" x14ac:dyDescent="0.25">
      <c r="A60" s="46"/>
      <c r="B60" s="46"/>
      <c r="C60" s="55"/>
      <c r="D60" s="55" t="s">
        <v>468</v>
      </c>
      <c r="E60" s="50">
        <v>3000000</v>
      </c>
      <c r="F60" s="42"/>
    </row>
    <row r="61" spans="1:9" x14ac:dyDescent="0.25">
      <c r="A61" s="46"/>
      <c r="B61" s="46"/>
      <c r="C61" s="55"/>
      <c r="D61" s="55" t="s">
        <v>469</v>
      </c>
      <c r="E61" s="50">
        <v>2000000</v>
      </c>
      <c r="F61" s="42"/>
    </row>
    <row r="62" spans="1:9" ht="30" x14ac:dyDescent="0.25">
      <c r="A62" s="97"/>
      <c r="B62" s="97"/>
      <c r="C62" s="38" t="s">
        <v>89</v>
      </c>
      <c r="D62" s="99" t="s">
        <v>440</v>
      </c>
      <c r="E62" s="100">
        <f>E63+E64</f>
        <v>7000000</v>
      </c>
      <c r="F62" s="36"/>
    </row>
    <row r="63" spans="1:9" x14ac:dyDescent="0.25">
      <c r="A63" s="97"/>
      <c r="B63" s="97"/>
      <c r="C63" s="38"/>
      <c r="D63" s="101" t="s">
        <v>470</v>
      </c>
      <c r="E63" s="37">
        <v>2000000</v>
      </c>
      <c r="F63" s="36"/>
    </row>
    <row r="64" spans="1:9" x14ac:dyDescent="0.25">
      <c r="A64" s="97"/>
      <c r="B64" s="97"/>
      <c r="C64" s="38"/>
      <c r="D64" s="101" t="s">
        <v>471</v>
      </c>
      <c r="E64" s="37">
        <v>5000000</v>
      </c>
      <c r="F64" s="36"/>
    </row>
    <row r="65" spans="1:6" x14ac:dyDescent="0.25">
      <c r="A65" s="46"/>
      <c r="B65" s="46"/>
      <c r="C65" s="55" t="s">
        <v>98</v>
      </c>
      <c r="D65" s="63" t="s">
        <v>441</v>
      </c>
      <c r="E65" s="64">
        <f>E66+E67+E68</f>
        <v>22000000</v>
      </c>
      <c r="F65" s="42"/>
    </row>
    <row r="66" spans="1:6" x14ac:dyDescent="0.25">
      <c r="A66" s="46"/>
      <c r="B66" s="46"/>
      <c r="C66" s="55"/>
      <c r="D66" s="55" t="s">
        <v>472</v>
      </c>
      <c r="E66" s="50">
        <v>5000000</v>
      </c>
      <c r="F66" s="42"/>
    </row>
    <row r="67" spans="1:6" x14ac:dyDescent="0.25">
      <c r="A67" s="46"/>
      <c r="B67" s="46"/>
      <c r="C67" s="55"/>
      <c r="D67" s="55" t="s">
        <v>543</v>
      </c>
      <c r="E67" s="50">
        <v>15000000</v>
      </c>
      <c r="F67" s="42"/>
    </row>
    <row r="68" spans="1:6" x14ac:dyDescent="0.25">
      <c r="A68" s="46"/>
      <c r="B68" s="46"/>
      <c r="C68" s="55"/>
      <c r="D68" s="55" t="s">
        <v>474</v>
      </c>
      <c r="E68" s="50">
        <v>2000000</v>
      </c>
      <c r="F68" s="42"/>
    </row>
    <row r="69" spans="1:6" x14ac:dyDescent="0.25">
      <c r="A69" s="5">
        <v>1</v>
      </c>
      <c r="B69" s="5">
        <v>1</v>
      </c>
      <c r="C69" s="53" t="s">
        <v>130</v>
      </c>
      <c r="D69" s="5" t="s">
        <v>19</v>
      </c>
      <c r="E69" s="54">
        <f>E70</f>
        <v>18000000</v>
      </c>
      <c r="F69" s="5" t="s">
        <v>131</v>
      </c>
    </row>
    <row r="70" spans="1:6" x14ac:dyDescent="0.25">
      <c r="A70" s="46"/>
      <c r="B70" s="46"/>
      <c r="C70" s="46"/>
      <c r="D70" s="42" t="s">
        <v>19</v>
      </c>
      <c r="E70" s="50">
        <v>18000000</v>
      </c>
      <c r="F70" s="42" t="s">
        <v>131</v>
      </c>
    </row>
    <row r="71" spans="1:6" x14ac:dyDescent="0.25">
      <c r="A71" s="5">
        <v>1</v>
      </c>
      <c r="B71" s="5">
        <v>1</v>
      </c>
      <c r="C71" s="53" t="s">
        <v>444</v>
      </c>
      <c r="D71" s="5" t="s">
        <v>445</v>
      </c>
      <c r="E71" s="54">
        <f>SUM(E72:E73)</f>
        <v>38400000</v>
      </c>
      <c r="F71" s="5" t="s">
        <v>131</v>
      </c>
    </row>
    <row r="72" spans="1:6" x14ac:dyDescent="0.25">
      <c r="A72" s="5"/>
      <c r="B72" s="5"/>
      <c r="C72" s="53"/>
      <c r="D72" s="42" t="s">
        <v>446</v>
      </c>
      <c r="E72" s="50">
        <v>6000000</v>
      </c>
      <c r="F72" s="42"/>
    </row>
    <row r="73" spans="1:6" x14ac:dyDescent="0.25">
      <c r="A73" s="46"/>
      <c r="B73" s="46"/>
      <c r="C73" s="46"/>
      <c r="D73" s="42" t="s">
        <v>447</v>
      </c>
      <c r="E73" s="50">
        <v>32400000</v>
      </c>
      <c r="F73" s="42"/>
    </row>
    <row r="74" spans="1:6" x14ac:dyDescent="0.25">
      <c r="A74" s="8">
        <v>1</v>
      </c>
      <c r="B74" s="8">
        <v>2</v>
      </c>
      <c r="C74" s="56"/>
      <c r="D74" s="8" t="s">
        <v>25</v>
      </c>
      <c r="E74" s="57">
        <f>E75+E78+E88</f>
        <v>246600000</v>
      </c>
      <c r="F74" s="58"/>
    </row>
    <row r="75" spans="1:6" x14ac:dyDescent="0.25">
      <c r="A75" s="5">
        <v>1</v>
      </c>
      <c r="B75" s="5">
        <v>2</v>
      </c>
      <c r="C75" s="53" t="s">
        <v>85</v>
      </c>
      <c r="D75" s="5" t="s">
        <v>22</v>
      </c>
      <c r="E75" s="54">
        <f>SUM(E76:E77)</f>
        <v>6200000</v>
      </c>
      <c r="F75" s="5" t="s">
        <v>0</v>
      </c>
    </row>
    <row r="76" spans="1:6" hidden="1" x14ac:dyDescent="0.25">
      <c r="A76" s="46"/>
      <c r="B76" s="46"/>
      <c r="C76" s="47"/>
      <c r="D76" s="42" t="s">
        <v>409</v>
      </c>
      <c r="E76" s="51">
        <v>0</v>
      </c>
      <c r="F76" s="42" t="s">
        <v>1</v>
      </c>
    </row>
    <row r="77" spans="1:6" x14ac:dyDescent="0.25">
      <c r="A77" s="46"/>
      <c r="B77" s="46"/>
      <c r="C77" s="47"/>
      <c r="D77" s="42" t="s">
        <v>583</v>
      </c>
      <c r="E77" s="50">
        <v>6200000</v>
      </c>
      <c r="F77" s="42" t="s">
        <v>0</v>
      </c>
    </row>
    <row r="78" spans="1:6" x14ac:dyDescent="0.25">
      <c r="A78" s="3">
        <v>1</v>
      </c>
      <c r="B78" s="3">
        <v>2</v>
      </c>
      <c r="C78" s="34" t="s">
        <v>89</v>
      </c>
      <c r="D78" s="3" t="s">
        <v>23</v>
      </c>
      <c r="E78" s="35">
        <f>E79+E83+E84+E85</f>
        <v>20400000</v>
      </c>
      <c r="F78" s="59" t="s">
        <v>585</v>
      </c>
    </row>
    <row r="79" spans="1:6" x14ac:dyDescent="0.25">
      <c r="A79" s="5"/>
      <c r="B79" s="5"/>
      <c r="C79" s="53"/>
      <c r="D79" s="60" t="s">
        <v>134</v>
      </c>
      <c r="E79" s="61">
        <f>SUM(E80:E82)</f>
        <v>4000000</v>
      </c>
      <c r="F79" s="60" t="s">
        <v>1</v>
      </c>
    </row>
    <row r="80" spans="1:6" x14ac:dyDescent="0.25">
      <c r="A80" s="5"/>
      <c r="B80" s="5"/>
      <c r="C80" s="53"/>
      <c r="D80" s="62" t="s">
        <v>136</v>
      </c>
      <c r="E80" s="49">
        <v>3000000</v>
      </c>
      <c r="F80" s="48" t="s">
        <v>1</v>
      </c>
    </row>
    <row r="81" spans="1:7" hidden="1" x14ac:dyDescent="0.25">
      <c r="A81" s="5"/>
      <c r="B81" s="5"/>
      <c r="C81" s="53"/>
      <c r="D81" s="62" t="s">
        <v>136</v>
      </c>
      <c r="E81" s="49">
        <v>0</v>
      </c>
      <c r="F81" s="48" t="s">
        <v>0</v>
      </c>
    </row>
    <row r="82" spans="1:7" x14ac:dyDescent="0.25">
      <c r="A82" s="5"/>
      <c r="B82" s="5"/>
      <c r="C82" s="53"/>
      <c r="D82" s="62" t="s">
        <v>137</v>
      </c>
      <c r="E82" s="49">
        <v>1000000</v>
      </c>
      <c r="F82" s="48" t="s">
        <v>1</v>
      </c>
      <c r="G82" t="s">
        <v>6</v>
      </c>
    </row>
    <row r="83" spans="1:7" x14ac:dyDescent="0.25">
      <c r="A83" s="5"/>
      <c r="B83" s="5"/>
      <c r="C83" s="53"/>
      <c r="D83" s="63" t="s">
        <v>138</v>
      </c>
      <c r="E83" s="64">
        <v>3000000</v>
      </c>
      <c r="F83" s="63" t="s">
        <v>2</v>
      </c>
    </row>
    <row r="84" spans="1:7" x14ac:dyDescent="0.25">
      <c r="A84" s="5"/>
      <c r="B84" s="5"/>
      <c r="C84" s="53"/>
      <c r="D84" s="63" t="s">
        <v>139</v>
      </c>
      <c r="E84" s="64">
        <v>10200000</v>
      </c>
      <c r="F84" s="63" t="s">
        <v>0</v>
      </c>
    </row>
    <row r="85" spans="1:7" x14ac:dyDescent="0.25">
      <c r="A85" s="5"/>
      <c r="B85" s="5"/>
      <c r="C85" s="53"/>
      <c r="D85" s="63" t="s">
        <v>140</v>
      </c>
      <c r="E85" s="64">
        <f>E86+E87</f>
        <v>3200000</v>
      </c>
      <c r="F85" s="63" t="s">
        <v>1</v>
      </c>
      <c r="G85" t="s">
        <v>6</v>
      </c>
    </row>
    <row r="86" spans="1:7" x14ac:dyDescent="0.25">
      <c r="A86" s="5"/>
      <c r="B86" s="5"/>
      <c r="C86" s="53"/>
      <c r="D86" s="65" t="s">
        <v>141</v>
      </c>
      <c r="E86" s="66">
        <v>1000000</v>
      </c>
      <c r="F86" s="67"/>
    </row>
    <row r="87" spans="1:7" x14ac:dyDescent="0.25">
      <c r="A87" s="5"/>
      <c r="B87" s="5"/>
      <c r="C87" s="53"/>
      <c r="D87" s="65" t="s">
        <v>142</v>
      </c>
      <c r="E87" s="66">
        <v>2200000</v>
      </c>
      <c r="F87" s="67"/>
    </row>
    <row r="88" spans="1:7" ht="30" x14ac:dyDescent="0.25">
      <c r="A88" s="3">
        <v>1</v>
      </c>
      <c r="B88" s="3">
        <v>2</v>
      </c>
      <c r="C88" s="34" t="s">
        <v>98</v>
      </c>
      <c r="D88" s="2" t="s">
        <v>24</v>
      </c>
      <c r="E88" s="35">
        <f>SUM(E89:E90)</f>
        <v>220000000</v>
      </c>
      <c r="F88" s="3" t="s">
        <v>4</v>
      </c>
    </row>
    <row r="89" spans="1:7" hidden="1" x14ac:dyDescent="0.25">
      <c r="A89" s="3"/>
      <c r="B89" s="3"/>
      <c r="C89" s="34"/>
      <c r="D89" s="65" t="s">
        <v>143</v>
      </c>
      <c r="E89" s="37">
        <v>0</v>
      </c>
      <c r="F89" s="36" t="s">
        <v>6</v>
      </c>
    </row>
    <row r="90" spans="1:7" x14ac:dyDescent="0.25">
      <c r="A90" s="5"/>
      <c r="B90" s="5"/>
      <c r="C90" s="53"/>
      <c r="D90" s="65" t="s">
        <v>582</v>
      </c>
      <c r="E90" s="66">
        <v>220000000</v>
      </c>
      <c r="F90" s="67" t="s">
        <v>4</v>
      </c>
    </row>
    <row r="91" spans="1:7" ht="30" x14ac:dyDescent="0.25">
      <c r="A91" s="68">
        <v>1</v>
      </c>
      <c r="B91" s="68">
        <v>3</v>
      </c>
      <c r="C91" s="68"/>
      <c r="D91" s="9" t="s">
        <v>26</v>
      </c>
      <c r="E91" s="33">
        <f>E92+E96+E101+E103</f>
        <v>21000000</v>
      </c>
      <c r="F91" s="69"/>
    </row>
    <row r="92" spans="1:7" x14ac:dyDescent="0.25">
      <c r="A92" s="5">
        <v>1</v>
      </c>
      <c r="B92" s="5">
        <v>3</v>
      </c>
      <c r="C92" s="53" t="s">
        <v>85</v>
      </c>
      <c r="D92" s="70" t="s">
        <v>27</v>
      </c>
      <c r="E92" s="54">
        <f>SUM(E93:E95)</f>
        <v>3000000</v>
      </c>
      <c r="F92" s="12" t="s">
        <v>1</v>
      </c>
    </row>
    <row r="93" spans="1:7" x14ac:dyDescent="0.25">
      <c r="A93" s="46"/>
      <c r="B93" s="46"/>
      <c r="C93" s="46"/>
      <c r="D93" s="71" t="s">
        <v>144</v>
      </c>
      <c r="E93" s="50">
        <v>1000000</v>
      </c>
      <c r="F93" s="72"/>
    </row>
    <row r="94" spans="1:7" x14ac:dyDescent="0.25">
      <c r="A94" s="46"/>
      <c r="B94" s="46"/>
      <c r="C94" s="46"/>
      <c r="D94" s="71" t="s">
        <v>145</v>
      </c>
      <c r="E94" s="50">
        <v>1000000</v>
      </c>
      <c r="F94" s="72"/>
    </row>
    <row r="95" spans="1:7" x14ac:dyDescent="0.25">
      <c r="A95" s="46"/>
      <c r="B95" s="46"/>
      <c r="C95" s="46"/>
      <c r="D95" s="71" t="s">
        <v>425</v>
      </c>
      <c r="E95" s="50">
        <v>1000000</v>
      </c>
      <c r="F95" s="72"/>
    </row>
    <row r="96" spans="1:7" x14ac:dyDescent="0.25">
      <c r="A96" s="5">
        <v>1</v>
      </c>
      <c r="B96" s="5">
        <v>3</v>
      </c>
      <c r="C96" s="53" t="s">
        <v>89</v>
      </c>
      <c r="D96" s="5" t="s">
        <v>28</v>
      </c>
      <c r="E96" s="54">
        <f>SUM(E97:E100)</f>
        <v>14000000</v>
      </c>
      <c r="F96" s="5" t="s">
        <v>3</v>
      </c>
    </row>
    <row r="97" spans="1:7" hidden="1" x14ac:dyDescent="0.25">
      <c r="A97" s="46"/>
      <c r="B97" s="46"/>
      <c r="C97" s="46"/>
      <c r="D97" s="42" t="s">
        <v>146</v>
      </c>
      <c r="E97" s="50">
        <v>0</v>
      </c>
      <c r="F97" s="42" t="s">
        <v>6</v>
      </c>
    </row>
    <row r="98" spans="1:7" hidden="1" x14ac:dyDescent="0.25">
      <c r="A98" s="46"/>
      <c r="B98" s="46"/>
      <c r="C98" s="46"/>
      <c r="D98" s="42" t="s">
        <v>128</v>
      </c>
      <c r="E98" s="50">
        <v>0</v>
      </c>
      <c r="F98" s="73"/>
    </row>
    <row r="99" spans="1:7" hidden="1" x14ac:dyDescent="0.25">
      <c r="A99" s="46"/>
      <c r="B99" s="46"/>
      <c r="C99" s="46"/>
      <c r="D99" s="42" t="s">
        <v>145</v>
      </c>
      <c r="E99" s="50">
        <v>0</v>
      </c>
      <c r="F99" s="48" t="s">
        <v>6</v>
      </c>
    </row>
    <row r="100" spans="1:7" x14ac:dyDescent="0.25">
      <c r="A100" s="46"/>
      <c r="B100" s="46"/>
      <c r="C100" s="46"/>
      <c r="D100" s="42" t="s">
        <v>147</v>
      </c>
      <c r="E100" s="50">
        <v>14000000</v>
      </c>
      <c r="F100" s="48" t="s">
        <v>3</v>
      </c>
      <c r="G100" s="186"/>
    </row>
    <row r="101" spans="1:7" x14ac:dyDescent="0.25">
      <c r="A101" s="3">
        <v>1</v>
      </c>
      <c r="B101" s="3">
        <v>3</v>
      </c>
      <c r="C101" s="34" t="s">
        <v>98</v>
      </c>
      <c r="D101" s="2" t="s">
        <v>29</v>
      </c>
      <c r="E101" s="35">
        <f>SUM(E102:E102)</f>
        <v>2000000</v>
      </c>
      <c r="F101" s="3" t="s">
        <v>2</v>
      </c>
    </row>
    <row r="102" spans="1:7" x14ac:dyDescent="0.25">
      <c r="A102" s="46"/>
      <c r="B102" s="46"/>
      <c r="C102" s="46"/>
      <c r="D102" s="42" t="s">
        <v>144</v>
      </c>
      <c r="E102" s="50">
        <v>2000000</v>
      </c>
      <c r="F102" s="74"/>
    </row>
    <row r="103" spans="1:7" x14ac:dyDescent="0.25">
      <c r="A103" s="3">
        <v>1</v>
      </c>
      <c r="B103" s="3">
        <v>3</v>
      </c>
      <c r="C103" s="34" t="s">
        <v>122</v>
      </c>
      <c r="D103" s="2" t="s">
        <v>30</v>
      </c>
      <c r="E103" s="35">
        <f>SUM(E104:E109)</f>
        <v>2000000</v>
      </c>
      <c r="F103" s="3" t="s">
        <v>1</v>
      </c>
    </row>
    <row r="104" spans="1:7" x14ac:dyDescent="0.25">
      <c r="A104" s="46"/>
      <c r="B104" s="46"/>
      <c r="C104" s="46"/>
      <c r="D104" s="42" t="s">
        <v>148</v>
      </c>
      <c r="E104" s="50">
        <v>2000000</v>
      </c>
      <c r="F104" s="74"/>
    </row>
    <row r="105" spans="1:7" hidden="1" x14ac:dyDescent="0.25">
      <c r="A105" s="46"/>
      <c r="B105" s="46"/>
      <c r="C105" s="46"/>
      <c r="D105" s="42"/>
      <c r="E105" s="50"/>
      <c r="F105" s="74"/>
    </row>
    <row r="106" spans="1:7" ht="15" hidden="1" customHeight="1" x14ac:dyDescent="0.25">
      <c r="A106" s="46"/>
      <c r="B106" s="46"/>
      <c r="C106" s="46"/>
      <c r="D106" s="46" t="s">
        <v>149</v>
      </c>
      <c r="E106" s="75">
        <v>0</v>
      </c>
      <c r="F106" s="46"/>
    </row>
    <row r="107" spans="1:7" ht="15" hidden="1" customHeight="1" x14ac:dyDescent="0.25">
      <c r="A107" s="46"/>
      <c r="B107" s="46"/>
      <c r="C107" s="46"/>
      <c r="D107" s="46" t="s">
        <v>145</v>
      </c>
      <c r="E107" s="75">
        <v>0</v>
      </c>
      <c r="F107" s="46"/>
    </row>
    <row r="108" spans="1:7" ht="15" hidden="1" customHeight="1" x14ac:dyDescent="0.25">
      <c r="A108" s="46"/>
      <c r="B108" s="46"/>
      <c r="C108" s="46"/>
      <c r="D108" s="46" t="s">
        <v>128</v>
      </c>
      <c r="E108" s="75">
        <v>0</v>
      </c>
      <c r="F108" s="46"/>
    </row>
    <row r="109" spans="1:7" ht="15" hidden="1" customHeight="1" x14ac:dyDescent="0.25">
      <c r="A109" s="46"/>
      <c r="B109" s="46"/>
      <c r="C109" s="46"/>
      <c r="D109" s="46" t="s">
        <v>129</v>
      </c>
      <c r="E109" s="75">
        <v>0</v>
      </c>
      <c r="F109" s="5"/>
    </row>
    <row r="110" spans="1:7" ht="15" hidden="1" customHeight="1" x14ac:dyDescent="0.25">
      <c r="A110" s="46"/>
      <c r="B110" s="46"/>
      <c r="C110" s="46"/>
      <c r="D110" s="46" t="s">
        <v>150</v>
      </c>
      <c r="E110" s="75">
        <v>0</v>
      </c>
      <c r="F110" s="5"/>
    </row>
    <row r="111" spans="1:7" ht="30" x14ac:dyDescent="0.25">
      <c r="A111" s="68">
        <v>1</v>
      </c>
      <c r="B111" s="68">
        <v>4</v>
      </c>
      <c r="C111" s="68"/>
      <c r="D111" s="9" t="s">
        <v>31</v>
      </c>
      <c r="E111" s="33">
        <f>E112+E115+E118+E125+E131+E134</f>
        <v>25100000</v>
      </c>
      <c r="F111" s="68"/>
    </row>
    <row r="112" spans="1:7" ht="30" x14ac:dyDescent="0.25">
      <c r="A112" s="3">
        <v>1</v>
      </c>
      <c r="B112" s="3">
        <v>4</v>
      </c>
      <c r="C112" s="34" t="s">
        <v>85</v>
      </c>
      <c r="D112" s="2" t="s">
        <v>32</v>
      </c>
      <c r="E112" s="35">
        <f>SUM(E113:E114)</f>
        <v>3000000</v>
      </c>
      <c r="F112" s="3" t="s">
        <v>0</v>
      </c>
    </row>
    <row r="113" spans="1:7" x14ac:dyDescent="0.25">
      <c r="A113" s="46"/>
      <c r="B113" s="46"/>
      <c r="C113" s="46"/>
      <c r="D113" s="48" t="s">
        <v>128</v>
      </c>
      <c r="E113" s="49">
        <v>3000000</v>
      </c>
      <c r="F113" s="48" t="s">
        <v>0</v>
      </c>
    </row>
    <row r="114" spans="1:7" hidden="1" x14ac:dyDescent="0.25">
      <c r="A114" s="46"/>
      <c r="B114" s="46"/>
      <c r="C114" s="46"/>
      <c r="D114" s="48" t="s">
        <v>151</v>
      </c>
      <c r="E114" s="49">
        <v>0</v>
      </c>
      <c r="F114" s="48" t="s">
        <v>1</v>
      </c>
    </row>
    <row r="115" spans="1:7" x14ac:dyDescent="0.25">
      <c r="A115" s="5">
        <v>1</v>
      </c>
      <c r="B115" s="5">
        <v>4</v>
      </c>
      <c r="C115" s="53" t="s">
        <v>89</v>
      </c>
      <c r="D115" s="5" t="s">
        <v>33</v>
      </c>
      <c r="E115" s="54">
        <f>SUM(E116:E117)</f>
        <v>3000000</v>
      </c>
      <c r="F115" s="5" t="s">
        <v>1</v>
      </c>
    </row>
    <row r="116" spans="1:7" x14ac:dyDescent="0.25">
      <c r="A116" s="5"/>
      <c r="B116" s="5"/>
      <c r="C116" s="53"/>
      <c r="D116" s="48" t="s">
        <v>128</v>
      </c>
      <c r="E116" s="49">
        <v>3000000</v>
      </c>
      <c r="F116" s="48" t="s">
        <v>1</v>
      </c>
    </row>
    <row r="117" spans="1:7" hidden="1" x14ac:dyDescent="0.25">
      <c r="A117" s="5"/>
      <c r="B117" s="5"/>
      <c r="C117" s="53"/>
      <c r="D117" s="48" t="s">
        <v>145</v>
      </c>
      <c r="E117" s="49">
        <v>0</v>
      </c>
      <c r="F117" s="48" t="s">
        <v>1</v>
      </c>
    </row>
    <row r="118" spans="1:7" ht="35.25" customHeight="1" x14ac:dyDescent="0.25">
      <c r="A118" s="3">
        <v>1</v>
      </c>
      <c r="B118" s="3">
        <v>4</v>
      </c>
      <c r="C118" s="34" t="s">
        <v>98</v>
      </c>
      <c r="D118" s="2" t="s">
        <v>34</v>
      </c>
      <c r="E118" s="35">
        <f>SUM(E119:E124)</f>
        <v>9500000</v>
      </c>
      <c r="F118" s="2" t="s">
        <v>1</v>
      </c>
    </row>
    <row r="119" spans="1:7" hidden="1" x14ac:dyDescent="0.25">
      <c r="A119" s="46"/>
      <c r="B119" s="46"/>
      <c r="C119" s="46"/>
      <c r="D119" s="42" t="s">
        <v>152</v>
      </c>
      <c r="E119" s="50">
        <v>0</v>
      </c>
      <c r="F119" s="42" t="s">
        <v>6</v>
      </c>
    </row>
    <row r="120" spans="1:7" x14ac:dyDescent="0.25">
      <c r="A120" s="46"/>
      <c r="B120" s="46"/>
      <c r="C120" s="46"/>
      <c r="D120" s="42" t="s">
        <v>128</v>
      </c>
      <c r="E120" s="50">
        <v>2000000</v>
      </c>
      <c r="F120" s="42" t="s">
        <v>1</v>
      </c>
    </row>
    <row r="121" spans="1:7" x14ac:dyDescent="0.25">
      <c r="A121" s="46"/>
      <c r="B121" s="46"/>
      <c r="C121" s="46"/>
      <c r="D121" s="42" t="s">
        <v>153</v>
      </c>
      <c r="E121" s="49">
        <v>6000000</v>
      </c>
      <c r="F121" s="42" t="s">
        <v>1</v>
      </c>
    </row>
    <row r="122" spans="1:7" x14ac:dyDescent="0.25">
      <c r="A122" s="46"/>
      <c r="B122" s="46"/>
      <c r="C122" s="46"/>
      <c r="D122" s="42" t="s">
        <v>154</v>
      </c>
      <c r="E122" s="49">
        <v>1500000</v>
      </c>
      <c r="F122" s="42" t="s">
        <v>1</v>
      </c>
    </row>
    <row r="123" spans="1:7" hidden="1" x14ac:dyDescent="0.25">
      <c r="A123" s="46"/>
      <c r="B123" s="46"/>
      <c r="C123" s="46"/>
      <c r="D123" s="42" t="s">
        <v>155</v>
      </c>
      <c r="E123" s="49">
        <v>0</v>
      </c>
      <c r="F123" s="42" t="s">
        <v>1</v>
      </c>
    </row>
    <row r="124" spans="1:7" hidden="1" x14ac:dyDescent="0.25">
      <c r="A124" s="46"/>
      <c r="B124" s="46"/>
      <c r="C124" s="46"/>
      <c r="D124" s="42" t="s">
        <v>129</v>
      </c>
      <c r="E124" s="49">
        <v>0</v>
      </c>
      <c r="F124" s="42" t="s">
        <v>9</v>
      </c>
    </row>
    <row r="125" spans="1:7" x14ac:dyDescent="0.25">
      <c r="A125" s="5">
        <v>1</v>
      </c>
      <c r="B125" s="5">
        <v>4</v>
      </c>
      <c r="C125" s="53" t="s">
        <v>109</v>
      </c>
      <c r="D125" s="5" t="s">
        <v>35</v>
      </c>
      <c r="E125" s="54">
        <f>SUM(E126:E130)</f>
        <v>1000000</v>
      </c>
      <c r="F125" s="5" t="s">
        <v>156</v>
      </c>
    </row>
    <row r="126" spans="1:7" hidden="1" x14ac:dyDescent="0.25">
      <c r="A126" s="46"/>
      <c r="B126" s="46"/>
      <c r="C126" s="46"/>
      <c r="D126" s="42" t="s">
        <v>157</v>
      </c>
      <c r="E126" s="51">
        <v>0</v>
      </c>
      <c r="F126" s="42" t="s">
        <v>0</v>
      </c>
      <c r="G126" s="173">
        <f>E126/12</f>
        <v>0</v>
      </c>
    </row>
    <row r="127" spans="1:7" hidden="1" x14ac:dyDescent="0.25">
      <c r="A127" s="46"/>
      <c r="B127" s="46"/>
      <c r="C127" s="46"/>
      <c r="D127" s="52" t="s">
        <v>158</v>
      </c>
      <c r="E127" s="50">
        <v>0</v>
      </c>
      <c r="F127" s="42" t="s">
        <v>6</v>
      </c>
    </row>
    <row r="128" spans="1:7" hidden="1" x14ac:dyDescent="0.25">
      <c r="A128" s="46"/>
      <c r="B128" s="46"/>
      <c r="C128" s="46"/>
      <c r="D128" s="42" t="s">
        <v>158</v>
      </c>
      <c r="E128" s="50">
        <v>0</v>
      </c>
      <c r="F128" s="42" t="s">
        <v>1</v>
      </c>
    </row>
    <row r="129" spans="1:8" x14ac:dyDescent="0.25">
      <c r="A129" s="46"/>
      <c r="B129" s="46"/>
      <c r="C129" s="46"/>
      <c r="D129" s="42" t="s">
        <v>128</v>
      </c>
      <c r="E129" s="50">
        <v>1000000</v>
      </c>
      <c r="F129" s="42" t="s">
        <v>2</v>
      </c>
    </row>
    <row r="130" spans="1:8" hidden="1" x14ac:dyDescent="0.25">
      <c r="A130" s="46"/>
      <c r="B130" s="46"/>
      <c r="C130" s="46"/>
      <c r="D130" s="42" t="s">
        <v>149</v>
      </c>
      <c r="E130" s="50">
        <v>0</v>
      </c>
      <c r="F130" s="42" t="s">
        <v>1</v>
      </c>
    </row>
    <row r="131" spans="1:8" ht="30" x14ac:dyDescent="0.25">
      <c r="A131" s="3">
        <v>1</v>
      </c>
      <c r="B131" s="3">
        <v>4</v>
      </c>
      <c r="C131" s="34" t="s">
        <v>159</v>
      </c>
      <c r="D131" s="2" t="s">
        <v>36</v>
      </c>
      <c r="E131" s="35">
        <f>SUM(E132:E133)</f>
        <v>2000000</v>
      </c>
      <c r="F131" s="3" t="s">
        <v>1</v>
      </c>
    </row>
    <row r="132" spans="1:8" x14ac:dyDescent="0.25">
      <c r="A132" s="46"/>
      <c r="B132" s="46"/>
      <c r="C132" s="46"/>
      <c r="D132" s="42" t="s">
        <v>128</v>
      </c>
      <c r="E132" s="50">
        <v>1000000</v>
      </c>
      <c r="F132" s="76"/>
    </row>
    <row r="133" spans="1:8" x14ac:dyDescent="0.25">
      <c r="A133" s="46"/>
      <c r="B133" s="46"/>
      <c r="C133" s="46"/>
      <c r="D133" s="42" t="s">
        <v>152</v>
      </c>
      <c r="E133" s="50">
        <v>1000000</v>
      </c>
      <c r="F133" s="76"/>
    </row>
    <row r="134" spans="1:8" x14ac:dyDescent="0.25">
      <c r="A134" s="5">
        <v>1</v>
      </c>
      <c r="B134" s="5">
        <v>4</v>
      </c>
      <c r="C134" s="53" t="s">
        <v>160</v>
      </c>
      <c r="D134" s="5" t="s">
        <v>37</v>
      </c>
      <c r="E134" s="54">
        <f>SUM(E135:E137)</f>
        <v>6600000</v>
      </c>
      <c r="F134" s="5" t="s">
        <v>0</v>
      </c>
    </row>
    <row r="135" spans="1:8" x14ac:dyDescent="0.25">
      <c r="A135" s="46"/>
      <c r="B135" s="46"/>
      <c r="C135" s="46"/>
      <c r="D135" s="46" t="s">
        <v>161</v>
      </c>
      <c r="E135" s="50">
        <f>550000*12</f>
        <v>6600000</v>
      </c>
      <c r="F135" s="46" t="s">
        <v>0</v>
      </c>
      <c r="G135" s="173">
        <f>E135/12</f>
        <v>550000</v>
      </c>
    </row>
    <row r="136" spans="1:8" hidden="1" x14ac:dyDescent="0.25">
      <c r="A136" s="46"/>
      <c r="B136" s="46"/>
      <c r="C136" s="46"/>
      <c r="D136" s="77" t="s">
        <v>162</v>
      </c>
      <c r="E136" s="49">
        <v>0</v>
      </c>
      <c r="F136" s="77"/>
    </row>
    <row r="137" spans="1:8" hidden="1" x14ac:dyDescent="0.25">
      <c r="A137" s="46"/>
      <c r="B137" s="46"/>
      <c r="C137" s="46"/>
      <c r="D137" s="46" t="s">
        <v>129</v>
      </c>
      <c r="E137" s="75">
        <v>0</v>
      </c>
      <c r="F137" s="46" t="s">
        <v>6</v>
      </c>
    </row>
    <row r="138" spans="1:8" ht="37.5" hidden="1" customHeight="1" x14ac:dyDescent="0.25">
      <c r="A138" s="3">
        <v>1</v>
      </c>
      <c r="B138" s="3">
        <v>4</v>
      </c>
      <c r="C138" s="34" t="s">
        <v>163</v>
      </c>
      <c r="D138" s="78" t="s">
        <v>164</v>
      </c>
      <c r="E138" s="35">
        <f>E139</f>
        <v>0</v>
      </c>
      <c r="F138" s="3"/>
    </row>
    <row r="139" spans="1:8" hidden="1" x14ac:dyDescent="0.25">
      <c r="A139" s="46"/>
      <c r="B139" s="46"/>
      <c r="C139" s="46"/>
      <c r="D139" s="46" t="s">
        <v>165</v>
      </c>
      <c r="E139" s="75"/>
      <c r="F139" s="46"/>
    </row>
    <row r="140" spans="1:8" hidden="1" x14ac:dyDescent="0.25">
      <c r="A140" s="46"/>
      <c r="B140" s="46"/>
      <c r="C140" s="46"/>
      <c r="D140" s="46"/>
      <c r="E140" s="75"/>
      <c r="F140" s="46"/>
    </row>
    <row r="141" spans="1:8" x14ac:dyDescent="0.25">
      <c r="A141" s="8">
        <v>1</v>
      </c>
      <c r="B141" s="8">
        <v>5</v>
      </c>
      <c r="C141" s="8"/>
      <c r="D141" s="10" t="s">
        <v>38</v>
      </c>
      <c r="E141" s="57">
        <f>E142+E145+E151</f>
        <v>17500000</v>
      </c>
      <c r="F141" s="8"/>
      <c r="H141">
        <v>800000</v>
      </c>
    </row>
    <row r="142" spans="1:8" ht="29.25" hidden="1" customHeight="1" x14ac:dyDescent="0.25">
      <c r="A142" s="3">
        <v>1</v>
      </c>
      <c r="B142" s="3">
        <v>5</v>
      </c>
      <c r="C142" s="34" t="s">
        <v>98</v>
      </c>
      <c r="D142" s="2" t="s">
        <v>39</v>
      </c>
      <c r="E142" s="35">
        <f>SUM(E143:E144)</f>
        <v>0</v>
      </c>
      <c r="F142" s="3" t="s">
        <v>1</v>
      </c>
    </row>
    <row r="143" spans="1:8" hidden="1" x14ac:dyDescent="0.25">
      <c r="A143" s="46"/>
      <c r="B143" s="46"/>
      <c r="C143" s="46"/>
      <c r="D143" s="42" t="s">
        <v>144</v>
      </c>
      <c r="E143" s="50">
        <v>0</v>
      </c>
      <c r="F143" s="42"/>
    </row>
    <row r="144" spans="1:8" hidden="1" x14ac:dyDescent="0.25">
      <c r="A144" s="46"/>
      <c r="B144" s="46"/>
      <c r="C144" s="46"/>
      <c r="D144" s="42" t="s">
        <v>166</v>
      </c>
      <c r="E144" s="50">
        <v>0</v>
      </c>
      <c r="F144" s="42"/>
    </row>
    <row r="145" spans="1:8" x14ac:dyDescent="0.25">
      <c r="A145" s="5">
        <v>1</v>
      </c>
      <c r="B145" s="5">
        <v>5</v>
      </c>
      <c r="C145" s="53" t="s">
        <v>125</v>
      </c>
      <c r="D145" s="79" t="s">
        <v>40</v>
      </c>
      <c r="E145" s="64">
        <f>SUM(E146:E150)</f>
        <v>17500000</v>
      </c>
      <c r="F145" s="63" t="s">
        <v>1</v>
      </c>
      <c r="H145">
        <v>700000</v>
      </c>
    </row>
    <row r="146" spans="1:8" x14ac:dyDescent="0.25">
      <c r="A146" s="5"/>
      <c r="B146" s="5"/>
      <c r="C146" s="53"/>
      <c r="D146" s="42" t="s">
        <v>547</v>
      </c>
      <c r="E146" s="50">
        <v>5000000</v>
      </c>
      <c r="F146" s="63"/>
      <c r="H146">
        <v>700000</v>
      </c>
    </row>
    <row r="147" spans="1:8" hidden="1" x14ac:dyDescent="0.25">
      <c r="A147" s="5"/>
      <c r="B147" s="5"/>
      <c r="C147" s="53"/>
      <c r="D147" s="42" t="s">
        <v>544</v>
      </c>
      <c r="E147" s="50">
        <v>0</v>
      </c>
      <c r="F147" s="63"/>
    </row>
    <row r="148" spans="1:8" hidden="1" x14ac:dyDescent="0.25">
      <c r="A148" s="5"/>
      <c r="B148" s="5"/>
      <c r="C148" s="53"/>
      <c r="D148" s="42" t="s">
        <v>545</v>
      </c>
      <c r="E148" s="50">
        <v>0</v>
      </c>
      <c r="F148" s="63"/>
    </row>
    <row r="149" spans="1:8" x14ac:dyDescent="0.25">
      <c r="A149" s="5"/>
      <c r="B149" s="5"/>
      <c r="C149" s="53"/>
      <c r="D149" s="42" t="s">
        <v>546</v>
      </c>
      <c r="E149" s="50">
        <v>10000000</v>
      </c>
      <c r="F149" s="63"/>
      <c r="H149">
        <f>600000*3</f>
        <v>1800000</v>
      </c>
    </row>
    <row r="150" spans="1:8" x14ac:dyDescent="0.25">
      <c r="A150" s="5"/>
      <c r="B150" s="5"/>
      <c r="C150" s="53"/>
      <c r="D150" s="42" t="s">
        <v>167</v>
      </c>
      <c r="E150" s="50">
        <v>2500000</v>
      </c>
      <c r="F150" s="42"/>
      <c r="H150">
        <f>500000*12</f>
        <v>6000000</v>
      </c>
    </row>
    <row r="151" spans="1:8" hidden="1" x14ac:dyDescent="0.25">
      <c r="A151" s="3">
        <v>1</v>
      </c>
      <c r="B151" s="81">
        <v>5</v>
      </c>
      <c r="C151" s="82" t="s">
        <v>159</v>
      </c>
      <c r="D151" s="83" t="s">
        <v>168</v>
      </c>
      <c r="E151" s="84">
        <f>E152</f>
        <v>0</v>
      </c>
      <c r="F151" s="81" t="s">
        <v>169</v>
      </c>
    </row>
    <row r="152" spans="1:8" hidden="1" x14ac:dyDescent="0.25">
      <c r="A152" s="46"/>
      <c r="B152" s="85"/>
      <c r="C152" s="85"/>
      <c r="D152" s="86" t="s">
        <v>170</v>
      </c>
      <c r="E152" s="87">
        <v>0</v>
      </c>
      <c r="F152" s="85"/>
    </row>
    <row r="153" spans="1:8" x14ac:dyDescent="0.25">
      <c r="A153" s="11">
        <v>2</v>
      </c>
      <c r="B153" s="11"/>
      <c r="C153" s="11"/>
      <c r="D153" s="11" t="s">
        <v>41</v>
      </c>
      <c r="E153" s="88">
        <f>E154+E197+E253+E282+E313+E320+E334+E339</f>
        <v>1047540000</v>
      </c>
      <c r="F153" s="11"/>
      <c r="H153">
        <f>SUM(H141:H150)</f>
        <v>10000000</v>
      </c>
    </row>
    <row r="154" spans="1:8" x14ac:dyDescent="0.25">
      <c r="A154" s="8">
        <v>2</v>
      </c>
      <c r="B154" s="8">
        <v>1</v>
      </c>
      <c r="C154" s="8"/>
      <c r="D154" s="10" t="s">
        <v>42</v>
      </c>
      <c r="E154" s="57">
        <f>E155+E163+E165+E168+E172+E179+E182+E189+E195</f>
        <v>116100000</v>
      </c>
      <c r="F154" s="8"/>
    </row>
    <row r="155" spans="1:8" ht="36" customHeight="1" x14ac:dyDescent="0.25">
      <c r="A155" s="3">
        <v>2</v>
      </c>
      <c r="B155" s="3">
        <v>1</v>
      </c>
      <c r="C155" s="34" t="s">
        <v>85</v>
      </c>
      <c r="D155" s="2" t="s">
        <v>43</v>
      </c>
      <c r="E155" s="35">
        <f>SUM(E156:E159)</f>
        <v>39600000</v>
      </c>
      <c r="F155" s="2" t="s">
        <v>3</v>
      </c>
    </row>
    <row r="156" spans="1:8" x14ac:dyDescent="0.25">
      <c r="A156" s="46"/>
      <c r="B156" s="46"/>
      <c r="C156" s="46"/>
      <c r="D156" s="42" t="s">
        <v>171</v>
      </c>
      <c r="E156" s="50">
        <f>1800000*12</f>
        <v>21600000</v>
      </c>
      <c r="F156" s="42" t="s">
        <v>3</v>
      </c>
      <c r="G156" s="173">
        <f>E156/12</f>
        <v>1800000</v>
      </c>
    </row>
    <row r="157" spans="1:8" x14ac:dyDescent="0.25">
      <c r="A157" s="46"/>
      <c r="B157" s="46"/>
      <c r="C157" s="46"/>
      <c r="D157" s="42" t="s">
        <v>172</v>
      </c>
      <c r="E157" s="50">
        <f>1300000*12</f>
        <v>15600000</v>
      </c>
      <c r="F157" s="42" t="s">
        <v>3</v>
      </c>
      <c r="G157" s="173">
        <f>E157/12</f>
        <v>1300000</v>
      </c>
    </row>
    <row r="158" spans="1:8" x14ac:dyDescent="0.25">
      <c r="A158" s="46"/>
      <c r="B158" s="46"/>
      <c r="C158" s="46"/>
      <c r="D158" s="42" t="s">
        <v>173</v>
      </c>
      <c r="E158" s="50">
        <v>1200000</v>
      </c>
      <c r="F158" s="42" t="s">
        <v>3</v>
      </c>
    </row>
    <row r="159" spans="1:8" x14ac:dyDescent="0.25">
      <c r="A159" s="46"/>
      <c r="B159" s="46"/>
      <c r="C159" s="46"/>
      <c r="D159" s="42" t="s">
        <v>174</v>
      </c>
      <c r="E159" s="50">
        <v>1200000</v>
      </c>
      <c r="F159" s="42" t="s">
        <v>3</v>
      </c>
    </row>
    <row r="160" spans="1:8" hidden="1" x14ac:dyDescent="0.25">
      <c r="A160" s="5">
        <v>2</v>
      </c>
      <c r="B160" s="5">
        <v>1</v>
      </c>
      <c r="C160" s="53" t="s">
        <v>89</v>
      </c>
      <c r="D160" s="5" t="s">
        <v>175</v>
      </c>
      <c r="E160" s="54"/>
      <c r="F160" s="5"/>
    </row>
    <row r="161" spans="1:6" hidden="1" x14ac:dyDescent="0.25">
      <c r="A161" s="5"/>
      <c r="B161" s="5"/>
      <c r="C161" s="53"/>
      <c r="D161" s="5"/>
      <c r="E161" s="54"/>
      <c r="F161" s="5"/>
    </row>
    <row r="162" spans="1:6" hidden="1" x14ac:dyDescent="0.25">
      <c r="A162" s="5"/>
      <c r="B162" s="5"/>
      <c r="C162" s="53"/>
      <c r="D162" s="5"/>
      <c r="E162" s="54"/>
      <c r="F162" s="5"/>
    </row>
    <row r="163" spans="1:6" hidden="1" x14ac:dyDescent="0.25">
      <c r="A163" s="89">
        <v>2</v>
      </c>
      <c r="B163" s="89">
        <v>1</v>
      </c>
      <c r="C163" s="90" t="s">
        <v>98</v>
      </c>
      <c r="D163" s="89" t="s">
        <v>176</v>
      </c>
      <c r="E163" s="91">
        <f>E164</f>
        <v>0</v>
      </c>
      <c r="F163" s="5" t="s">
        <v>3</v>
      </c>
    </row>
    <row r="164" spans="1:6" hidden="1" x14ac:dyDescent="0.25">
      <c r="A164" s="89"/>
      <c r="B164" s="89"/>
      <c r="C164" s="90"/>
      <c r="D164" s="48" t="s">
        <v>177</v>
      </c>
      <c r="E164" s="49">
        <v>0</v>
      </c>
      <c r="F164" s="5"/>
    </row>
    <row r="165" spans="1:6" ht="29.25" customHeight="1" x14ac:dyDescent="0.25">
      <c r="A165" s="3">
        <v>2</v>
      </c>
      <c r="B165" s="3">
        <v>1</v>
      </c>
      <c r="C165" s="34" t="s">
        <v>109</v>
      </c>
      <c r="D165" s="2" t="s">
        <v>44</v>
      </c>
      <c r="E165" s="35">
        <f>E166</f>
        <v>1000000</v>
      </c>
      <c r="F165" s="3" t="s">
        <v>1</v>
      </c>
    </row>
    <row r="166" spans="1:6" ht="18.75" customHeight="1" x14ac:dyDescent="0.25">
      <c r="A166" s="5"/>
      <c r="B166" s="5"/>
      <c r="C166" s="53"/>
      <c r="D166" s="71" t="s">
        <v>178</v>
      </c>
      <c r="E166" s="50">
        <v>1000000</v>
      </c>
      <c r="F166" s="92"/>
    </row>
    <row r="167" spans="1:6" hidden="1" x14ac:dyDescent="0.25">
      <c r="A167" s="5"/>
      <c r="B167" s="5"/>
      <c r="C167" s="53"/>
      <c r="D167" s="12"/>
      <c r="E167" s="54"/>
      <c r="F167" s="5"/>
    </row>
    <row r="168" spans="1:6" ht="30" x14ac:dyDescent="0.25">
      <c r="A168" s="3">
        <v>2</v>
      </c>
      <c r="B168" s="3">
        <v>1</v>
      </c>
      <c r="C168" s="34" t="s">
        <v>122</v>
      </c>
      <c r="D168" s="2" t="s">
        <v>45</v>
      </c>
      <c r="E168" s="35">
        <f>E169</f>
        <v>1000000</v>
      </c>
      <c r="F168" s="3" t="s">
        <v>9</v>
      </c>
    </row>
    <row r="169" spans="1:6" x14ac:dyDescent="0.25">
      <c r="A169" s="3"/>
      <c r="B169" s="3"/>
      <c r="C169" s="34"/>
      <c r="D169" s="43" t="s">
        <v>179</v>
      </c>
      <c r="E169" s="37">
        <v>1000000</v>
      </c>
      <c r="F169" s="36" t="s">
        <v>9</v>
      </c>
    </row>
    <row r="170" spans="1:6" hidden="1" x14ac:dyDescent="0.25">
      <c r="A170" s="3"/>
      <c r="B170" s="3"/>
      <c r="C170" s="34"/>
      <c r="D170" s="43" t="s">
        <v>180</v>
      </c>
      <c r="E170" s="37">
        <v>0</v>
      </c>
      <c r="F170" s="36"/>
    </row>
    <row r="171" spans="1:6" hidden="1" x14ac:dyDescent="0.25">
      <c r="A171" s="3"/>
      <c r="B171" s="3"/>
      <c r="C171" s="34"/>
      <c r="D171" s="43" t="s">
        <v>181</v>
      </c>
      <c r="E171" s="37">
        <v>0</v>
      </c>
      <c r="F171" s="36"/>
    </row>
    <row r="172" spans="1:6" s="185" customFormat="1" ht="45" x14ac:dyDescent="0.25">
      <c r="A172" s="3">
        <v>2</v>
      </c>
      <c r="B172" s="3">
        <v>1</v>
      </c>
      <c r="C172" s="34" t="s">
        <v>125</v>
      </c>
      <c r="D172" s="2" t="s">
        <v>182</v>
      </c>
      <c r="E172" s="35">
        <f>SUM(E173:E178)</f>
        <v>5000000</v>
      </c>
      <c r="F172" s="3" t="s">
        <v>3</v>
      </c>
    </row>
    <row r="173" spans="1:6" x14ac:dyDescent="0.25">
      <c r="A173" s="3"/>
      <c r="B173" s="3"/>
      <c r="C173" s="34"/>
      <c r="D173" s="43" t="s">
        <v>562</v>
      </c>
      <c r="E173" s="37">
        <v>5000000</v>
      </c>
      <c r="F173" s="36"/>
    </row>
    <row r="174" spans="1:6" hidden="1" x14ac:dyDescent="0.25">
      <c r="A174" s="3"/>
      <c r="B174" s="3"/>
      <c r="C174" s="34"/>
      <c r="D174" s="43" t="s">
        <v>184</v>
      </c>
      <c r="E174" s="37">
        <v>0</v>
      </c>
      <c r="F174" s="36"/>
    </row>
    <row r="175" spans="1:6" hidden="1" x14ac:dyDescent="0.25">
      <c r="A175" s="3"/>
      <c r="B175" s="3"/>
      <c r="C175" s="34"/>
      <c r="D175" s="43" t="s">
        <v>185</v>
      </c>
      <c r="E175" s="37"/>
      <c r="F175" s="36"/>
    </row>
    <row r="176" spans="1:6" hidden="1" x14ac:dyDescent="0.25">
      <c r="A176" s="3"/>
      <c r="B176" s="3"/>
      <c r="C176" s="34"/>
      <c r="D176" s="43" t="s">
        <v>186</v>
      </c>
      <c r="E176" s="37"/>
      <c r="F176" s="36"/>
    </row>
    <row r="177" spans="1:9" hidden="1" x14ac:dyDescent="0.25">
      <c r="A177" s="3"/>
      <c r="B177" s="3"/>
      <c r="C177" s="34"/>
      <c r="D177" s="43" t="s">
        <v>187</v>
      </c>
      <c r="E177" s="37"/>
      <c r="F177" s="36"/>
    </row>
    <row r="178" spans="1:9" hidden="1" x14ac:dyDescent="0.25">
      <c r="A178" s="3"/>
      <c r="B178" s="3"/>
      <c r="C178" s="34"/>
      <c r="D178" s="43" t="s">
        <v>408</v>
      </c>
      <c r="E178" s="37">
        <v>0</v>
      </c>
      <c r="F178" s="76"/>
    </row>
    <row r="179" spans="1:9" s="185" customFormat="1" ht="30" hidden="1" x14ac:dyDescent="0.25">
      <c r="A179" s="3">
        <v>2</v>
      </c>
      <c r="B179" s="3">
        <v>1</v>
      </c>
      <c r="C179" s="34" t="s">
        <v>159</v>
      </c>
      <c r="D179" s="2" t="s">
        <v>188</v>
      </c>
      <c r="E179" s="35">
        <f>SUM(E180:E181)</f>
        <v>0</v>
      </c>
      <c r="F179" s="3" t="s">
        <v>3</v>
      </c>
    </row>
    <row r="180" spans="1:9" hidden="1" x14ac:dyDescent="0.25">
      <c r="A180" s="3"/>
      <c r="B180" s="3"/>
      <c r="C180" s="34"/>
      <c r="D180" s="43" t="s">
        <v>189</v>
      </c>
      <c r="E180" s="37">
        <v>0</v>
      </c>
      <c r="F180" s="3"/>
    </row>
    <row r="181" spans="1:9" hidden="1" x14ac:dyDescent="0.25">
      <c r="A181" s="3"/>
      <c r="B181" s="3"/>
      <c r="C181" s="34"/>
      <c r="D181" s="43" t="s">
        <v>190</v>
      </c>
      <c r="E181" s="37">
        <v>0</v>
      </c>
      <c r="F181" s="3"/>
    </row>
    <row r="182" spans="1:9" x14ac:dyDescent="0.25">
      <c r="A182" s="5">
        <v>2</v>
      </c>
      <c r="B182" s="5">
        <v>1</v>
      </c>
      <c r="C182" s="53" t="s">
        <v>160</v>
      </c>
      <c r="D182" s="12" t="s">
        <v>46</v>
      </c>
      <c r="E182" s="54">
        <f>E183+E185+E186+E187+E188</f>
        <v>44500000</v>
      </c>
      <c r="F182" s="5" t="s">
        <v>3</v>
      </c>
    </row>
    <row r="183" spans="1:9" x14ac:dyDescent="0.25">
      <c r="A183" s="5"/>
      <c r="B183" s="5"/>
      <c r="C183" s="53"/>
      <c r="D183" s="71" t="s">
        <v>191</v>
      </c>
      <c r="E183" s="50">
        <v>36000000</v>
      </c>
      <c r="F183" s="5"/>
      <c r="H183" s="173">
        <f>E183/12</f>
        <v>3000000</v>
      </c>
      <c r="I183" s="173">
        <f>H183/2</f>
        <v>1500000</v>
      </c>
    </row>
    <row r="184" spans="1:9" hidden="1" x14ac:dyDescent="0.25">
      <c r="A184" s="5"/>
      <c r="B184" s="5"/>
      <c r="C184" s="53"/>
      <c r="D184" s="71" t="s">
        <v>192</v>
      </c>
      <c r="E184" s="50">
        <v>0</v>
      </c>
      <c r="F184" s="5"/>
    </row>
    <row r="185" spans="1:9" x14ac:dyDescent="0.25">
      <c r="A185" s="5"/>
      <c r="B185" s="5"/>
      <c r="C185" s="53"/>
      <c r="D185" s="71" t="s">
        <v>149</v>
      </c>
      <c r="E185" s="50">
        <v>2000000</v>
      </c>
      <c r="F185" s="5"/>
    </row>
    <row r="186" spans="1:9" ht="12.75" customHeight="1" x14ac:dyDescent="0.25">
      <c r="A186" s="5"/>
      <c r="B186" s="5"/>
      <c r="C186" s="53"/>
      <c r="D186" s="71" t="s">
        <v>193</v>
      </c>
      <c r="E186" s="50">
        <v>500000</v>
      </c>
      <c r="F186" s="5"/>
    </row>
    <row r="187" spans="1:9" x14ac:dyDescent="0.25">
      <c r="A187" s="5"/>
      <c r="B187" s="5"/>
      <c r="C187" s="53"/>
      <c r="D187" s="71" t="s">
        <v>194</v>
      </c>
      <c r="E187" s="50">
        <v>3000000</v>
      </c>
      <c r="F187" s="5"/>
      <c r="H187" s="173">
        <f>E187/12</f>
        <v>250000</v>
      </c>
    </row>
    <row r="188" spans="1:9" x14ac:dyDescent="0.25">
      <c r="A188" s="5"/>
      <c r="B188" s="5"/>
      <c r="C188" s="53"/>
      <c r="D188" s="71" t="s">
        <v>195</v>
      </c>
      <c r="E188" s="50">
        <v>3000000</v>
      </c>
      <c r="F188" s="5"/>
      <c r="H188" s="173">
        <f>E188/12</f>
        <v>250000</v>
      </c>
    </row>
    <row r="189" spans="1:9" x14ac:dyDescent="0.25">
      <c r="A189" s="5">
        <v>2</v>
      </c>
      <c r="B189" s="5">
        <v>1</v>
      </c>
      <c r="C189" s="53" t="s">
        <v>196</v>
      </c>
      <c r="D189" s="12" t="s">
        <v>197</v>
      </c>
      <c r="E189" s="54">
        <f>SUM(E190:E192)</f>
        <v>15000000</v>
      </c>
      <c r="F189" s="5" t="s">
        <v>3</v>
      </c>
    </row>
    <row r="190" spans="1:9" x14ac:dyDescent="0.25">
      <c r="A190" s="5"/>
      <c r="B190" s="5"/>
      <c r="C190" s="53"/>
      <c r="D190" s="71" t="s">
        <v>548</v>
      </c>
      <c r="E190" s="50">
        <v>5000000</v>
      </c>
      <c r="F190" s="42"/>
    </row>
    <row r="191" spans="1:9" x14ac:dyDescent="0.25">
      <c r="A191" s="5"/>
      <c r="B191" s="5"/>
      <c r="C191" s="53"/>
      <c r="D191" s="71" t="s">
        <v>549</v>
      </c>
      <c r="E191" s="50">
        <v>5000000</v>
      </c>
      <c r="F191" s="42"/>
    </row>
    <row r="192" spans="1:9" x14ac:dyDescent="0.25">
      <c r="A192" s="5"/>
      <c r="B192" s="5"/>
      <c r="C192" s="53"/>
      <c r="D192" s="71" t="s">
        <v>550</v>
      </c>
      <c r="E192" s="50">
        <v>5000000</v>
      </c>
      <c r="F192" s="42"/>
    </row>
    <row r="193" spans="1:8" hidden="1" x14ac:dyDescent="0.25">
      <c r="A193" s="5"/>
      <c r="B193" s="5"/>
      <c r="C193" s="53"/>
      <c r="D193" s="71"/>
      <c r="E193" s="54"/>
      <c r="F193" s="5"/>
    </row>
    <row r="194" spans="1:8" hidden="1" x14ac:dyDescent="0.25">
      <c r="A194" s="5"/>
      <c r="B194" s="5"/>
      <c r="C194" s="53"/>
      <c r="D194" s="71" t="s">
        <v>198</v>
      </c>
      <c r="E194" s="50">
        <v>0</v>
      </c>
      <c r="F194" s="5"/>
    </row>
    <row r="195" spans="1:8" x14ac:dyDescent="0.25">
      <c r="A195" s="5">
        <v>2</v>
      </c>
      <c r="B195" s="5">
        <v>1</v>
      </c>
      <c r="C195" s="53" t="s">
        <v>199</v>
      </c>
      <c r="D195" s="12" t="s">
        <v>200</v>
      </c>
      <c r="E195" s="54">
        <f>E196</f>
        <v>10000000</v>
      </c>
      <c r="F195" s="5" t="s">
        <v>3</v>
      </c>
    </row>
    <row r="196" spans="1:8" x14ac:dyDescent="0.25">
      <c r="A196" s="5"/>
      <c r="B196" s="5"/>
      <c r="C196" s="53"/>
      <c r="D196" s="71" t="s">
        <v>201</v>
      </c>
      <c r="E196" s="50">
        <v>10000000</v>
      </c>
      <c r="F196" s="5"/>
      <c r="H196" s="173">
        <f>E196/500000</f>
        <v>20</v>
      </c>
    </row>
    <row r="197" spans="1:8" x14ac:dyDescent="0.25">
      <c r="A197" s="8">
        <v>2</v>
      </c>
      <c r="B197" s="8">
        <v>2</v>
      </c>
      <c r="C197" s="8"/>
      <c r="D197" s="6" t="s">
        <v>47</v>
      </c>
      <c r="E197" s="57">
        <f>E198+E202+E209+E212+E244+E246+E248</f>
        <v>208000000</v>
      </c>
      <c r="F197" s="8" t="s">
        <v>3</v>
      </c>
    </row>
    <row r="198" spans="1:8" x14ac:dyDescent="0.25">
      <c r="A198" s="5">
        <v>2</v>
      </c>
      <c r="B198" s="5">
        <v>2</v>
      </c>
      <c r="C198" s="53" t="s">
        <v>85</v>
      </c>
      <c r="D198" s="12" t="s">
        <v>202</v>
      </c>
      <c r="E198" s="54">
        <f>SUM(E199:E201)</f>
        <v>21600000</v>
      </c>
      <c r="F198" s="5" t="s">
        <v>3</v>
      </c>
    </row>
    <row r="199" spans="1:8" hidden="1" x14ac:dyDescent="0.25">
      <c r="A199" s="46"/>
      <c r="B199" s="46"/>
      <c r="C199" s="46"/>
      <c r="D199" s="71" t="s">
        <v>203</v>
      </c>
      <c r="E199" s="51">
        <v>0</v>
      </c>
      <c r="F199" s="42"/>
    </row>
    <row r="200" spans="1:8" hidden="1" x14ac:dyDescent="0.25">
      <c r="A200" s="46"/>
      <c r="B200" s="46"/>
      <c r="C200" s="46"/>
      <c r="D200" s="71" t="s">
        <v>204</v>
      </c>
      <c r="E200" s="51">
        <v>0</v>
      </c>
      <c r="F200" s="42"/>
    </row>
    <row r="201" spans="1:8" x14ac:dyDescent="0.25">
      <c r="A201" s="46"/>
      <c r="B201" s="46"/>
      <c r="C201" s="46"/>
      <c r="D201" s="71" t="s">
        <v>205</v>
      </c>
      <c r="E201" s="50">
        <f>1800000*12</f>
        <v>21600000</v>
      </c>
      <c r="F201" s="42"/>
      <c r="H201" s="173">
        <f>E201/12</f>
        <v>1800000</v>
      </c>
    </row>
    <row r="202" spans="1:8" x14ac:dyDescent="0.25">
      <c r="A202" s="5">
        <v>2</v>
      </c>
      <c r="B202" s="5">
        <v>2</v>
      </c>
      <c r="C202" s="53" t="s">
        <v>89</v>
      </c>
      <c r="D202" s="12" t="s">
        <v>48</v>
      </c>
      <c r="E202" s="54">
        <f>SUM(E203:E208)</f>
        <v>141600000</v>
      </c>
      <c r="F202" s="5" t="s">
        <v>3</v>
      </c>
    </row>
    <row r="203" spans="1:8" x14ac:dyDescent="0.25">
      <c r="A203" s="46"/>
      <c r="B203" s="46"/>
      <c r="C203" s="46"/>
      <c r="D203" s="71" t="s">
        <v>206</v>
      </c>
      <c r="E203" s="50">
        <v>40000000</v>
      </c>
      <c r="F203" s="42" t="s">
        <v>3</v>
      </c>
    </row>
    <row r="204" spans="1:8" x14ac:dyDescent="0.25">
      <c r="A204" s="46"/>
      <c r="B204" s="46"/>
      <c r="C204" s="46"/>
      <c r="D204" s="71" t="s">
        <v>402</v>
      </c>
      <c r="E204" s="50">
        <v>24000000</v>
      </c>
      <c r="F204" s="42" t="s">
        <v>3</v>
      </c>
      <c r="H204">
        <f>200000*10*12</f>
        <v>24000000</v>
      </c>
    </row>
    <row r="205" spans="1:8" hidden="1" x14ac:dyDescent="0.25">
      <c r="A205" s="97"/>
      <c r="B205" s="97"/>
      <c r="C205" s="97"/>
      <c r="D205" s="43" t="s">
        <v>207</v>
      </c>
      <c r="E205" s="37">
        <v>0</v>
      </c>
      <c r="F205" s="36" t="s">
        <v>3</v>
      </c>
    </row>
    <row r="206" spans="1:8" x14ac:dyDescent="0.25">
      <c r="A206" s="46"/>
      <c r="B206" s="46"/>
      <c r="C206" s="46"/>
      <c r="D206" s="98" t="s">
        <v>209</v>
      </c>
      <c r="E206" s="50">
        <v>2000000</v>
      </c>
      <c r="F206" s="42"/>
    </row>
    <row r="207" spans="1:8" x14ac:dyDescent="0.25">
      <c r="A207" s="46"/>
      <c r="B207" s="46"/>
      <c r="C207" s="46"/>
      <c r="D207" s="98" t="s">
        <v>210</v>
      </c>
      <c r="E207" s="50">
        <v>9600000</v>
      </c>
      <c r="F207" s="42" t="s">
        <v>3</v>
      </c>
    </row>
    <row r="208" spans="1:8" ht="16.5" customHeight="1" x14ac:dyDescent="0.25">
      <c r="A208" s="46"/>
      <c r="B208" s="46"/>
      <c r="C208" s="46"/>
      <c r="D208" s="71" t="s">
        <v>211</v>
      </c>
      <c r="E208" s="50">
        <f>110000*50*12</f>
        <v>66000000</v>
      </c>
      <c r="F208" s="42" t="s">
        <v>3</v>
      </c>
      <c r="H208" s="173">
        <f>E208/12/50</f>
        <v>110000</v>
      </c>
    </row>
    <row r="209" spans="1:6" x14ac:dyDescent="0.25">
      <c r="A209" s="5">
        <v>2</v>
      </c>
      <c r="B209" s="5">
        <v>2</v>
      </c>
      <c r="C209" s="53" t="s">
        <v>98</v>
      </c>
      <c r="D209" s="12" t="s">
        <v>49</v>
      </c>
      <c r="E209" s="54">
        <f>SUM(E210:E211)</f>
        <v>4000000</v>
      </c>
      <c r="F209" s="5" t="s">
        <v>3</v>
      </c>
    </row>
    <row r="210" spans="1:6" x14ac:dyDescent="0.25">
      <c r="A210" s="5"/>
      <c r="B210" s="5"/>
      <c r="C210" s="53"/>
      <c r="D210" s="71" t="s">
        <v>212</v>
      </c>
      <c r="E210" s="50">
        <v>2000000</v>
      </c>
      <c r="F210" s="42"/>
    </row>
    <row r="211" spans="1:6" x14ac:dyDescent="0.25">
      <c r="A211" s="5"/>
      <c r="B211" s="5"/>
      <c r="C211" s="53"/>
      <c r="D211" s="71" t="s">
        <v>213</v>
      </c>
      <c r="E211" s="50">
        <v>2000000</v>
      </c>
      <c r="F211" s="42"/>
    </row>
    <row r="212" spans="1:6" x14ac:dyDescent="0.25">
      <c r="A212" s="5">
        <v>2</v>
      </c>
      <c r="B212" s="5">
        <v>2</v>
      </c>
      <c r="C212" s="53" t="s">
        <v>109</v>
      </c>
      <c r="D212" s="12" t="s">
        <v>50</v>
      </c>
      <c r="E212" s="54">
        <f>E213+E219+E223+E224+E225+E226+E227+E232+E235+E239+E240+E241</f>
        <v>18000000</v>
      </c>
      <c r="F212" s="5" t="s">
        <v>3</v>
      </c>
    </row>
    <row r="213" spans="1:6" ht="30" x14ac:dyDescent="0.25">
      <c r="A213" s="5"/>
      <c r="B213" s="3"/>
      <c r="C213" s="34"/>
      <c r="D213" s="99" t="s">
        <v>554</v>
      </c>
      <c r="E213" s="100">
        <f>SUM(E214:E218)</f>
        <v>18000000</v>
      </c>
      <c r="F213" s="76" t="s">
        <v>3</v>
      </c>
    </row>
    <row r="214" spans="1:6" x14ac:dyDescent="0.25">
      <c r="A214" s="5"/>
      <c r="B214" s="3"/>
      <c r="C214" s="34"/>
      <c r="D214" s="101" t="s">
        <v>215</v>
      </c>
      <c r="E214" s="37">
        <v>2000000</v>
      </c>
      <c r="F214" s="36" t="s">
        <v>3</v>
      </c>
    </row>
    <row r="215" spans="1:6" x14ac:dyDescent="0.25">
      <c r="A215" s="5"/>
      <c r="B215" s="3"/>
      <c r="C215" s="34"/>
      <c r="D215" s="101" t="s">
        <v>551</v>
      </c>
      <c r="E215" s="37">
        <v>1000000</v>
      </c>
      <c r="F215" s="36" t="s">
        <v>3</v>
      </c>
    </row>
    <row r="216" spans="1:6" x14ac:dyDescent="0.25">
      <c r="A216" s="5"/>
      <c r="B216" s="3"/>
      <c r="C216" s="34"/>
      <c r="D216" s="101" t="s">
        <v>552</v>
      </c>
      <c r="E216" s="37">
        <v>2000000</v>
      </c>
      <c r="F216" s="36"/>
    </row>
    <row r="217" spans="1:6" x14ac:dyDescent="0.25">
      <c r="A217" s="5"/>
      <c r="B217" s="3"/>
      <c r="C217" s="34"/>
      <c r="D217" s="101" t="s">
        <v>553</v>
      </c>
      <c r="E217" s="37">
        <v>3000000</v>
      </c>
      <c r="F217" s="36"/>
    </row>
    <row r="218" spans="1:6" x14ac:dyDescent="0.25">
      <c r="A218" s="5"/>
      <c r="B218" s="3"/>
      <c r="C218" s="34"/>
      <c r="D218" s="101" t="s">
        <v>217</v>
      </c>
      <c r="E218" s="37">
        <v>10000000</v>
      </c>
      <c r="F218" s="36" t="s">
        <v>3</v>
      </c>
    </row>
    <row r="219" spans="1:6" hidden="1" x14ac:dyDescent="0.25">
      <c r="A219" s="5"/>
      <c r="B219" s="3"/>
      <c r="C219" s="34"/>
      <c r="D219" s="102" t="s">
        <v>218</v>
      </c>
      <c r="E219" s="100"/>
      <c r="F219" s="76" t="s">
        <v>3</v>
      </c>
    </row>
    <row r="220" spans="1:6" hidden="1" x14ac:dyDescent="0.25">
      <c r="A220" s="5"/>
      <c r="B220" s="3"/>
      <c r="C220" s="34"/>
      <c r="D220" s="101" t="s">
        <v>219</v>
      </c>
      <c r="E220" s="37"/>
      <c r="F220" s="36" t="s">
        <v>3</v>
      </c>
    </row>
    <row r="221" spans="1:6" hidden="1" x14ac:dyDescent="0.25">
      <c r="A221" s="5"/>
      <c r="B221" s="3"/>
      <c r="C221" s="34"/>
      <c r="D221" s="101" t="s">
        <v>220</v>
      </c>
      <c r="E221" s="37"/>
      <c r="F221" s="36" t="s">
        <v>3</v>
      </c>
    </row>
    <row r="222" spans="1:6" hidden="1" x14ac:dyDescent="0.25">
      <c r="A222" s="5"/>
      <c r="B222" s="3"/>
      <c r="C222" s="34"/>
      <c r="D222" s="101" t="s">
        <v>221</v>
      </c>
      <c r="E222" s="37"/>
      <c r="F222" s="36" t="s">
        <v>3</v>
      </c>
    </row>
    <row r="223" spans="1:6" hidden="1" x14ac:dyDescent="0.25">
      <c r="A223" s="5"/>
      <c r="B223" s="3"/>
      <c r="C223" s="34"/>
      <c r="D223" s="102" t="s">
        <v>222</v>
      </c>
      <c r="E223" s="100"/>
      <c r="F223" s="76" t="s">
        <v>3</v>
      </c>
    </row>
    <row r="224" spans="1:6" hidden="1" x14ac:dyDescent="0.25">
      <c r="A224" s="5"/>
      <c r="B224" s="3"/>
      <c r="C224" s="34"/>
      <c r="D224" s="102" t="s">
        <v>223</v>
      </c>
      <c r="E224" s="100"/>
      <c r="F224" s="76" t="s">
        <v>3</v>
      </c>
    </row>
    <row r="225" spans="1:6" hidden="1" x14ac:dyDescent="0.25">
      <c r="A225" s="5"/>
      <c r="B225" s="3"/>
      <c r="C225" s="34"/>
      <c r="D225" s="102" t="s">
        <v>224</v>
      </c>
      <c r="E225" s="100"/>
      <c r="F225" s="76" t="s">
        <v>3</v>
      </c>
    </row>
    <row r="226" spans="1:6" hidden="1" x14ac:dyDescent="0.25">
      <c r="A226" s="5"/>
      <c r="B226" s="3"/>
      <c r="C226" s="34"/>
      <c r="D226" s="102" t="s">
        <v>225</v>
      </c>
      <c r="E226" s="100"/>
      <c r="F226" s="76" t="s">
        <v>3</v>
      </c>
    </row>
    <row r="227" spans="1:6" hidden="1" x14ac:dyDescent="0.25">
      <c r="A227" s="5"/>
      <c r="B227" s="3"/>
      <c r="C227" s="34"/>
      <c r="D227" s="102" t="s">
        <v>226</v>
      </c>
      <c r="E227" s="100"/>
      <c r="F227" s="76" t="s">
        <v>3</v>
      </c>
    </row>
    <row r="228" spans="1:6" hidden="1" x14ac:dyDescent="0.25">
      <c r="A228" s="5"/>
      <c r="B228" s="3"/>
      <c r="C228" s="34"/>
      <c r="D228" s="101" t="s">
        <v>227</v>
      </c>
      <c r="E228" s="37"/>
      <c r="F228" s="36" t="s">
        <v>3</v>
      </c>
    </row>
    <row r="229" spans="1:6" hidden="1" x14ac:dyDescent="0.25">
      <c r="A229" s="5"/>
      <c r="B229" s="3"/>
      <c r="C229" s="34"/>
      <c r="D229" s="101" t="s">
        <v>228</v>
      </c>
      <c r="E229" s="37"/>
      <c r="F229" s="36" t="s">
        <v>3</v>
      </c>
    </row>
    <row r="230" spans="1:6" hidden="1" x14ac:dyDescent="0.25">
      <c r="A230" s="5"/>
      <c r="B230" s="3"/>
      <c r="C230" s="34"/>
      <c r="D230" s="101" t="s">
        <v>229</v>
      </c>
      <c r="E230" s="37"/>
      <c r="F230" s="36" t="s">
        <v>3</v>
      </c>
    </row>
    <row r="231" spans="1:6" hidden="1" x14ac:dyDescent="0.25">
      <c r="A231" s="53"/>
      <c r="B231" s="3"/>
      <c r="C231" s="34"/>
      <c r="D231" s="101" t="s">
        <v>230</v>
      </c>
      <c r="E231" s="37"/>
      <c r="F231" s="36" t="s">
        <v>3</v>
      </c>
    </row>
    <row r="232" spans="1:6" ht="30" hidden="1" x14ac:dyDescent="0.25">
      <c r="A232" s="53"/>
      <c r="B232" s="3"/>
      <c r="C232" s="34"/>
      <c r="D232" s="102" t="s">
        <v>231</v>
      </c>
      <c r="E232" s="100"/>
      <c r="F232" s="76" t="s">
        <v>3</v>
      </c>
    </row>
    <row r="233" spans="1:6" hidden="1" x14ac:dyDescent="0.25">
      <c r="A233" s="53"/>
      <c r="B233" s="3"/>
      <c r="C233" s="34"/>
      <c r="D233" s="101" t="s">
        <v>232</v>
      </c>
      <c r="E233" s="37"/>
      <c r="F233" s="36" t="s">
        <v>3</v>
      </c>
    </row>
    <row r="234" spans="1:6" hidden="1" x14ac:dyDescent="0.25">
      <c r="A234" s="53"/>
      <c r="B234" s="3"/>
      <c r="C234" s="34"/>
      <c r="D234" s="101" t="s">
        <v>233</v>
      </c>
      <c r="E234" s="37"/>
      <c r="F234" s="36" t="s">
        <v>3</v>
      </c>
    </row>
    <row r="235" spans="1:6" hidden="1" x14ac:dyDescent="0.25">
      <c r="A235" s="5"/>
      <c r="B235" s="3"/>
      <c r="C235" s="34"/>
      <c r="D235" s="99" t="s">
        <v>234</v>
      </c>
      <c r="E235" s="100"/>
      <c r="F235" s="76" t="s">
        <v>3</v>
      </c>
    </row>
    <row r="236" spans="1:6" hidden="1" x14ac:dyDescent="0.25">
      <c r="A236" s="53"/>
      <c r="B236" s="3"/>
      <c r="C236" s="34"/>
      <c r="D236" s="101" t="s">
        <v>209</v>
      </c>
      <c r="E236" s="37"/>
      <c r="F236" s="36" t="s">
        <v>3</v>
      </c>
    </row>
    <row r="237" spans="1:6" hidden="1" x14ac:dyDescent="0.25">
      <c r="A237" s="53"/>
      <c r="B237" s="3"/>
      <c r="C237" s="34"/>
      <c r="D237" s="101" t="s">
        <v>235</v>
      </c>
      <c r="E237" s="37"/>
      <c r="F237" s="36" t="s">
        <v>3</v>
      </c>
    </row>
    <row r="238" spans="1:6" hidden="1" x14ac:dyDescent="0.25">
      <c r="A238" s="5"/>
      <c r="B238" s="3"/>
      <c r="C238" s="34"/>
      <c r="D238" s="101" t="s">
        <v>236</v>
      </c>
      <c r="E238" s="37"/>
      <c r="F238" s="36" t="s">
        <v>3</v>
      </c>
    </row>
    <row r="239" spans="1:6" ht="30" hidden="1" x14ac:dyDescent="0.25">
      <c r="A239" s="5"/>
      <c r="B239" s="3"/>
      <c r="C239" s="34"/>
      <c r="D239" s="102" t="s">
        <v>237</v>
      </c>
      <c r="E239" s="100"/>
      <c r="F239" s="76" t="s">
        <v>3</v>
      </c>
    </row>
    <row r="240" spans="1:6" ht="30" hidden="1" x14ac:dyDescent="0.25">
      <c r="A240" s="5"/>
      <c r="B240" s="3"/>
      <c r="C240" s="34"/>
      <c r="D240" s="102" t="s">
        <v>238</v>
      </c>
      <c r="E240" s="100"/>
      <c r="F240" s="76" t="s">
        <v>3</v>
      </c>
    </row>
    <row r="241" spans="1:9" hidden="1" x14ac:dyDescent="0.25">
      <c r="A241" s="5"/>
      <c r="B241" s="3"/>
      <c r="C241" s="34"/>
      <c r="D241" s="99" t="s">
        <v>239</v>
      </c>
      <c r="E241" s="100">
        <f>SUM(E242:E243)</f>
        <v>0</v>
      </c>
      <c r="F241" s="76" t="s">
        <v>3</v>
      </c>
    </row>
    <row r="242" spans="1:9" hidden="1" x14ac:dyDescent="0.25">
      <c r="A242" s="5"/>
      <c r="B242" s="5"/>
      <c r="C242" s="53"/>
      <c r="D242" s="71" t="s">
        <v>212</v>
      </c>
      <c r="E242" s="50">
        <v>0</v>
      </c>
      <c r="F242" s="42" t="s">
        <v>3</v>
      </c>
    </row>
    <row r="243" spans="1:9" hidden="1" x14ac:dyDescent="0.25">
      <c r="A243" s="5"/>
      <c r="B243" s="5"/>
      <c r="C243" s="53"/>
      <c r="D243" s="71" t="s">
        <v>210</v>
      </c>
      <c r="E243" s="50">
        <v>0</v>
      </c>
      <c r="F243" s="42" t="s">
        <v>3</v>
      </c>
    </row>
    <row r="244" spans="1:9" x14ac:dyDescent="0.25">
      <c r="A244" s="5">
        <v>2</v>
      </c>
      <c r="B244" s="5">
        <v>2</v>
      </c>
      <c r="C244" s="53" t="s">
        <v>125</v>
      </c>
      <c r="D244" s="12" t="s">
        <v>51</v>
      </c>
      <c r="E244" s="54">
        <f>E245</f>
        <v>19800000</v>
      </c>
      <c r="F244" s="5" t="s">
        <v>3</v>
      </c>
    </row>
    <row r="245" spans="1:9" x14ac:dyDescent="0.25">
      <c r="A245" s="46"/>
      <c r="B245" s="46"/>
      <c r="C245" s="46"/>
      <c r="D245" s="71" t="s">
        <v>240</v>
      </c>
      <c r="E245" s="50">
        <f>110000*15*12</f>
        <v>19800000</v>
      </c>
      <c r="F245" s="42" t="s">
        <v>3</v>
      </c>
      <c r="H245" s="173">
        <f>E245/15/12</f>
        <v>110000</v>
      </c>
      <c r="I245" s="173">
        <f>H245*12</f>
        <v>1320000</v>
      </c>
    </row>
    <row r="246" spans="1:9" x14ac:dyDescent="0.25">
      <c r="A246" s="5">
        <v>2</v>
      </c>
      <c r="B246" s="5">
        <v>2</v>
      </c>
      <c r="C246" s="53" t="s">
        <v>160</v>
      </c>
      <c r="D246" s="12" t="s">
        <v>241</v>
      </c>
      <c r="E246" s="54">
        <f>E247</f>
        <v>1000000</v>
      </c>
      <c r="F246" s="5" t="s">
        <v>3</v>
      </c>
      <c r="I246" s="173">
        <f>I245*6%</f>
        <v>79200</v>
      </c>
    </row>
    <row r="247" spans="1:9" x14ac:dyDescent="0.25">
      <c r="A247" s="5"/>
      <c r="B247" s="5"/>
      <c r="C247" s="53"/>
      <c r="D247" s="98" t="s">
        <v>208</v>
      </c>
      <c r="E247" s="50">
        <v>1000000</v>
      </c>
      <c r="F247" s="42" t="s">
        <v>3</v>
      </c>
    </row>
    <row r="248" spans="1:9" s="185" customFormat="1" ht="30" x14ac:dyDescent="0.25">
      <c r="A248" s="3">
        <v>2</v>
      </c>
      <c r="B248" s="3">
        <v>2</v>
      </c>
      <c r="C248" s="34" t="s">
        <v>196</v>
      </c>
      <c r="D248" s="2" t="s">
        <v>242</v>
      </c>
      <c r="E248" s="35">
        <f>E249+E252</f>
        <v>2000000</v>
      </c>
      <c r="F248" s="3" t="s">
        <v>3</v>
      </c>
    </row>
    <row r="249" spans="1:9" x14ac:dyDescent="0.25">
      <c r="A249" s="3"/>
      <c r="B249" s="3"/>
      <c r="C249" s="34"/>
      <c r="D249" s="43" t="s">
        <v>243</v>
      </c>
      <c r="E249" s="37">
        <v>2000000</v>
      </c>
      <c r="F249" s="36" t="s">
        <v>3</v>
      </c>
    </row>
    <row r="250" spans="1:9" hidden="1" x14ac:dyDescent="0.25">
      <c r="A250" s="3"/>
      <c r="B250" s="3"/>
      <c r="C250" s="34"/>
      <c r="D250" s="98" t="s">
        <v>412</v>
      </c>
      <c r="E250" s="50">
        <v>0</v>
      </c>
      <c r="F250" s="42"/>
    </row>
    <row r="251" spans="1:9" hidden="1" x14ac:dyDescent="0.25">
      <c r="A251" s="3"/>
      <c r="B251" s="3"/>
      <c r="C251" s="34"/>
      <c r="D251" s="98" t="s">
        <v>411</v>
      </c>
      <c r="E251" s="50">
        <v>0</v>
      </c>
      <c r="F251" s="42"/>
    </row>
    <row r="252" spans="1:9" hidden="1" x14ac:dyDescent="0.25">
      <c r="A252" s="5"/>
      <c r="B252" s="5"/>
      <c r="C252" s="53"/>
      <c r="D252" s="43" t="s">
        <v>413</v>
      </c>
      <c r="E252" s="37">
        <v>0</v>
      </c>
      <c r="F252" s="42" t="s">
        <v>3</v>
      </c>
    </row>
    <row r="253" spans="1:9" x14ac:dyDescent="0.25">
      <c r="A253" s="8">
        <v>2</v>
      </c>
      <c r="B253" s="8">
        <v>3</v>
      </c>
      <c r="C253" s="8"/>
      <c r="D253" s="6" t="s">
        <v>244</v>
      </c>
      <c r="E253" s="57">
        <f>E254+E256+E257+E259+E261+E267+E271+E274+E278+E280</f>
        <v>363040000</v>
      </c>
      <c r="F253" s="8"/>
    </row>
    <row r="254" spans="1:9" s="185" customFormat="1" hidden="1" x14ac:dyDescent="0.25">
      <c r="A254" s="89">
        <v>2</v>
      </c>
      <c r="B254" s="89">
        <v>3</v>
      </c>
      <c r="C254" s="90" t="s">
        <v>85</v>
      </c>
      <c r="D254" s="17" t="s">
        <v>245</v>
      </c>
      <c r="E254" s="91">
        <f>E255</f>
        <v>0</v>
      </c>
      <c r="F254" s="89" t="s">
        <v>3</v>
      </c>
    </row>
    <row r="255" spans="1:9" ht="30" hidden="1" x14ac:dyDescent="0.25">
      <c r="A255" s="89"/>
      <c r="B255" s="89"/>
      <c r="C255" s="90"/>
      <c r="D255" s="103" t="s">
        <v>246</v>
      </c>
      <c r="E255" s="104"/>
      <c r="F255" s="105" t="s">
        <v>3</v>
      </c>
    </row>
    <row r="256" spans="1:9" hidden="1" x14ac:dyDescent="0.25">
      <c r="A256" s="5">
        <v>2</v>
      </c>
      <c r="B256" s="5">
        <v>3</v>
      </c>
      <c r="C256" s="53" t="s">
        <v>89</v>
      </c>
      <c r="D256" s="12" t="s">
        <v>247</v>
      </c>
      <c r="E256" s="54"/>
      <c r="F256" s="5"/>
    </row>
    <row r="257" spans="1:6" hidden="1" x14ac:dyDescent="0.25">
      <c r="A257" s="5">
        <v>2</v>
      </c>
      <c r="B257" s="5">
        <v>3</v>
      </c>
      <c r="C257" s="53" t="s">
        <v>98</v>
      </c>
      <c r="D257" s="12" t="s">
        <v>248</v>
      </c>
      <c r="E257" s="54">
        <f>SUM(E258)</f>
        <v>0</v>
      </c>
      <c r="F257" s="5" t="s">
        <v>3</v>
      </c>
    </row>
    <row r="258" spans="1:6" ht="30" hidden="1" x14ac:dyDescent="0.25">
      <c r="A258" s="5"/>
      <c r="B258" s="5"/>
      <c r="C258" s="53"/>
      <c r="D258" s="43" t="s">
        <v>249</v>
      </c>
      <c r="E258" s="37">
        <v>0</v>
      </c>
      <c r="F258" s="5"/>
    </row>
    <row r="259" spans="1:6" hidden="1" x14ac:dyDescent="0.25">
      <c r="A259" s="5">
        <v>2</v>
      </c>
      <c r="B259" s="5">
        <v>3</v>
      </c>
      <c r="C259" s="53" t="s">
        <v>122</v>
      </c>
      <c r="D259" s="12" t="s">
        <v>250</v>
      </c>
      <c r="E259" s="196"/>
      <c r="F259" s="5"/>
    </row>
    <row r="260" spans="1:6" s="204" customFormat="1" hidden="1" x14ac:dyDescent="0.25">
      <c r="A260" s="42"/>
      <c r="B260" s="42"/>
      <c r="C260" s="55"/>
      <c r="D260" s="71" t="s">
        <v>572</v>
      </c>
      <c r="E260" s="51"/>
      <c r="F260" s="42"/>
    </row>
    <row r="261" spans="1:6" ht="30" x14ac:dyDescent="0.25">
      <c r="A261" s="3">
        <v>2</v>
      </c>
      <c r="B261" s="3">
        <v>3</v>
      </c>
      <c r="C261" s="34" t="s">
        <v>199</v>
      </c>
      <c r="D261" s="2" t="s">
        <v>251</v>
      </c>
      <c r="E261" s="35">
        <f>SUM(E262:E266)</f>
        <v>168140000</v>
      </c>
      <c r="F261" s="3" t="s">
        <v>3</v>
      </c>
    </row>
    <row r="262" spans="1:6" hidden="1" x14ac:dyDescent="0.25">
      <c r="A262" s="5"/>
      <c r="B262" s="5"/>
      <c r="C262" s="53"/>
      <c r="D262" s="43" t="s">
        <v>574</v>
      </c>
      <c r="E262" s="40">
        <v>0</v>
      </c>
      <c r="F262" s="5"/>
    </row>
    <row r="263" spans="1:6" hidden="1" x14ac:dyDescent="0.25">
      <c r="A263" s="5"/>
      <c r="B263" s="5"/>
      <c r="C263" s="53"/>
      <c r="D263" s="43" t="s">
        <v>567</v>
      </c>
      <c r="E263" s="40">
        <v>0</v>
      </c>
      <c r="F263" s="5"/>
    </row>
    <row r="264" spans="1:6" x14ac:dyDescent="0.25">
      <c r="A264" s="5"/>
      <c r="B264" s="5"/>
      <c r="C264" s="53"/>
      <c r="D264" s="43" t="s">
        <v>579</v>
      </c>
      <c r="E264" s="37">
        <v>131740000</v>
      </c>
      <c r="F264" s="5"/>
    </row>
    <row r="265" spans="1:6" x14ac:dyDescent="0.25">
      <c r="A265" s="5"/>
      <c r="B265" s="5"/>
      <c r="C265" s="53"/>
      <c r="D265" s="43" t="s">
        <v>580</v>
      </c>
      <c r="E265" s="37">
        <v>36400000</v>
      </c>
      <c r="F265" s="5"/>
    </row>
    <row r="266" spans="1:6" hidden="1" x14ac:dyDescent="0.25">
      <c r="A266" s="5"/>
      <c r="B266" s="5"/>
      <c r="C266" s="53"/>
      <c r="D266" s="43" t="s">
        <v>568</v>
      </c>
      <c r="E266" s="50"/>
      <c r="F266" s="5"/>
    </row>
    <row r="267" spans="1:6" ht="30" x14ac:dyDescent="0.25">
      <c r="A267" s="3">
        <v>2</v>
      </c>
      <c r="B267" s="3">
        <v>3</v>
      </c>
      <c r="C267" s="34" t="s">
        <v>163</v>
      </c>
      <c r="D267" s="2" t="s">
        <v>252</v>
      </c>
      <c r="E267" s="35">
        <f>SUM(E268:E270)</f>
        <v>20000000</v>
      </c>
      <c r="F267" s="3" t="s">
        <v>3</v>
      </c>
    </row>
    <row r="268" spans="1:6" s="204" customFormat="1" x14ac:dyDescent="0.25">
      <c r="A268" s="36"/>
      <c r="B268" s="36"/>
      <c r="C268" s="38"/>
      <c r="D268" s="43" t="s">
        <v>569</v>
      </c>
      <c r="E268" s="37">
        <v>20000000</v>
      </c>
      <c r="F268" s="36"/>
    </row>
    <row r="269" spans="1:6" hidden="1" x14ac:dyDescent="0.25">
      <c r="A269" s="3"/>
      <c r="B269" s="3"/>
      <c r="C269" s="34"/>
      <c r="D269" s="43" t="s">
        <v>570</v>
      </c>
      <c r="E269" s="35"/>
      <c r="F269" s="3"/>
    </row>
    <row r="270" spans="1:6" hidden="1" x14ac:dyDescent="0.25">
      <c r="A270" s="3"/>
      <c r="B270" s="3"/>
      <c r="C270" s="34"/>
      <c r="D270" s="43" t="s">
        <v>253</v>
      </c>
      <c r="E270" s="37">
        <v>0</v>
      </c>
      <c r="F270" s="5"/>
    </row>
    <row r="271" spans="1:6" ht="30" x14ac:dyDescent="0.25">
      <c r="A271" s="3">
        <v>2</v>
      </c>
      <c r="B271" s="3">
        <v>3</v>
      </c>
      <c r="C271" s="34" t="s">
        <v>254</v>
      </c>
      <c r="D271" s="2" t="s">
        <v>255</v>
      </c>
      <c r="E271" s="35">
        <f>SUM(E272:E273)</f>
        <v>174900000</v>
      </c>
      <c r="F271" s="3" t="s">
        <v>3</v>
      </c>
    </row>
    <row r="272" spans="1:6" x14ac:dyDescent="0.25">
      <c r="A272" s="5"/>
      <c r="B272" s="5"/>
      <c r="C272" s="53"/>
      <c r="D272" s="71" t="s">
        <v>578</v>
      </c>
      <c r="E272" s="50">
        <v>174900000</v>
      </c>
      <c r="F272" s="42"/>
    </row>
    <row r="273" spans="1:6" ht="30" hidden="1" x14ac:dyDescent="0.25">
      <c r="A273" s="5"/>
      <c r="B273" s="5"/>
      <c r="C273" s="53"/>
      <c r="D273" s="43" t="s">
        <v>415</v>
      </c>
      <c r="E273" s="37">
        <v>0</v>
      </c>
      <c r="F273" s="5"/>
    </row>
    <row r="274" spans="1:6" ht="45" hidden="1" x14ac:dyDescent="0.25">
      <c r="A274" s="3">
        <v>2</v>
      </c>
      <c r="B274" s="3">
        <v>3</v>
      </c>
      <c r="C274" s="34" t="s">
        <v>257</v>
      </c>
      <c r="D274" s="2" t="s">
        <v>258</v>
      </c>
      <c r="E274" s="35">
        <f>SUM(E275:E277)</f>
        <v>0</v>
      </c>
      <c r="F274" s="3" t="s">
        <v>6</v>
      </c>
    </row>
    <row r="275" spans="1:6" ht="30" hidden="1" x14ac:dyDescent="0.25">
      <c r="A275" s="3"/>
      <c r="B275" s="3"/>
      <c r="C275" s="34"/>
      <c r="D275" s="43" t="s">
        <v>566</v>
      </c>
      <c r="E275" s="40">
        <v>0</v>
      </c>
      <c r="F275" s="3"/>
    </row>
    <row r="276" spans="1:6" hidden="1" x14ac:dyDescent="0.25">
      <c r="A276" s="3"/>
      <c r="B276" s="3"/>
      <c r="C276" s="34"/>
      <c r="D276" s="43" t="s">
        <v>573</v>
      </c>
      <c r="E276" s="40"/>
      <c r="F276" s="3"/>
    </row>
    <row r="277" spans="1:6" hidden="1" x14ac:dyDescent="0.25">
      <c r="A277" s="5"/>
      <c r="B277" s="5"/>
      <c r="C277" s="53"/>
      <c r="D277" s="71" t="s">
        <v>571</v>
      </c>
      <c r="E277" s="51">
        <v>0</v>
      </c>
      <c r="F277" s="5"/>
    </row>
    <row r="278" spans="1:6" ht="30" hidden="1" x14ac:dyDescent="0.25">
      <c r="A278" s="3">
        <v>2</v>
      </c>
      <c r="B278" s="3">
        <v>3</v>
      </c>
      <c r="C278" s="34" t="s">
        <v>261</v>
      </c>
      <c r="D278" s="2" t="s">
        <v>262</v>
      </c>
      <c r="E278" s="35">
        <f>E279</f>
        <v>0</v>
      </c>
      <c r="F278" s="3" t="s">
        <v>3</v>
      </c>
    </row>
    <row r="279" spans="1:6" ht="30" hidden="1" x14ac:dyDescent="0.25">
      <c r="A279" s="3"/>
      <c r="B279" s="3"/>
      <c r="C279" s="34"/>
      <c r="D279" s="43" t="s">
        <v>263</v>
      </c>
      <c r="E279" s="37">
        <v>0</v>
      </c>
      <c r="F279" s="3"/>
    </row>
    <row r="280" spans="1:6" ht="30" hidden="1" x14ac:dyDescent="0.25">
      <c r="A280" s="3">
        <v>2</v>
      </c>
      <c r="B280" s="3">
        <v>3</v>
      </c>
      <c r="C280" s="34" t="s">
        <v>264</v>
      </c>
      <c r="D280" s="2" t="s">
        <v>265</v>
      </c>
      <c r="E280" s="35">
        <f>SUM(E281:E281)</f>
        <v>0</v>
      </c>
      <c r="F280" s="3" t="s">
        <v>3</v>
      </c>
    </row>
    <row r="281" spans="1:6" hidden="1" x14ac:dyDescent="0.25">
      <c r="A281" s="3"/>
      <c r="B281" s="3"/>
      <c r="C281" s="34"/>
      <c r="D281" s="43" t="s">
        <v>266</v>
      </c>
      <c r="E281" s="40">
        <v>0</v>
      </c>
      <c r="F281" s="3"/>
    </row>
    <row r="282" spans="1:6" x14ac:dyDescent="0.25">
      <c r="A282" s="8">
        <v>2</v>
      </c>
      <c r="B282" s="8">
        <v>4</v>
      </c>
      <c r="C282" s="8"/>
      <c r="D282" s="6" t="s">
        <v>267</v>
      </c>
      <c r="E282" s="57">
        <f>E283+E285+E287+E294+E296+E299+E302+E304+E309</f>
        <v>294000000</v>
      </c>
      <c r="F282" s="8"/>
    </row>
    <row r="283" spans="1:6" ht="30" hidden="1" x14ac:dyDescent="0.25">
      <c r="A283" s="3">
        <v>2</v>
      </c>
      <c r="B283" s="3">
        <v>4</v>
      </c>
      <c r="C283" s="34" t="s">
        <v>85</v>
      </c>
      <c r="D283" s="2" t="s">
        <v>268</v>
      </c>
      <c r="E283" s="221">
        <f>SUM(E284:E284)</f>
        <v>0</v>
      </c>
      <c r="F283" s="3" t="s">
        <v>3</v>
      </c>
    </row>
    <row r="284" spans="1:6" ht="30" hidden="1" x14ac:dyDescent="0.25">
      <c r="A284" s="5"/>
      <c r="B284" s="3"/>
      <c r="C284" s="34"/>
      <c r="D284" s="43" t="s">
        <v>269</v>
      </c>
      <c r="E284" s="37">
        <v>0</v>
      </c>
      <c r="F284" s="3" t="s">
        <v>3</v>
      </c>
    </row>
    <row r="285" spans="1:6" hidden="1" x14ac:dyDescent="0.25">
      <c r="A285" s="3">
        <v>2</v>
      </c>
      <c r="B285" s="3">
        <v>4</v>
      </c>
      <c r="C285" s="34" t="s">
        <v>98</v>
      </c>
      <c r="D285" s="2" t="s">
        <v>270</v>
      </c>
      <c r="E285" s="35">
        <f>SUM(E286:E286)</f>
        <v>0</v>
      </c>
      <c r="F285" s="3" t="s">
        <v>3</v>
      </c>
    </row>
    <row r="286" spans="1:6" hidden="1" x14ac:dyDescent="0.25">
      <c r="A286" s="5"/>
      <c r="B286" s="3"/>
      <c r="C286" s="34"/>
      <c r="D286" s="43" t="s">
        <v>271</v>
      </c>
      <c r="E286" s="37">
        <v>0</v>
      </c>
      <c r="F286" s="3"/>
    </row>
    <row r="287" spans="1:6" s="185" customFormat="1" x14ac:dyDescent="0.25">
      <c r="A287" s="3">
        <v>2</v>
      </c>
      <c r="B287" s="3">
        <v>4</v>
      </c>
      <c r="C287" s="34" t="s">
        <v>159</v>
      </c>
      <c r="D287" s="2" t="s">
        <v>272</v>
      </c>
      <c r="E287" s="35">
        <f>SUM(E288:E293)</f>
        <v>104000000</v>
      </c>
      <c r="F287" s="3" t="s">
        <v>3</v>
      </c>
    </row>
    <row r="288" spans="1:6" x14ac:dyDescent="0.25">
      <c r="A288" s="5"/>
      <c r="B288" s="5"/>
      <c r="C288" s="53"/>
      <c r="D288" s="71" t="s">
        <v>556</v>
      </c>
      <c r="E288" s="50">
        <f>2000000*12</f>
        <v>24000000</v>
      </c>
      <c r="F288" s="3"/>
    </row>
    <row r="289" spans="1:8" x14ac:dyDescent="0.25">
      <c r="A289" s="5"/>
      <c r="B289" s="5"/>
      <c r="C289" s="53"/>
      <c r="D289" s="71" t="s">
        <v>555</v>
      </c>
      <c r="E289" s="50">
        <f>2000000*12</f>
        <v>24000000</v>
      </c>
      <c r="F289" s="46"/>
      <c r="H289">
        <v>1500000</v>
      </c>
    </row>
    <row r="290" spans="1:8" x14ac:dyDescent="0.25">
      <c r="A290" s="5"/>
      <c r="B290" s="5"/>
      <c r="C290" s="53"/>
      <c r="D290" s="71" t="s">
        <v>577</v>
      </c>
      <c r="E290" s="50">
        <f>1500000*12</f>
        <v>18000000</v>
      </c>
      <c r="F290" s="46"/>
      <c r="H290">
        <v>1300000</v>
      </c>
    </row>
    <row r="291" spans="1:8" x14ac:dyDescent="0.25">
      <c r="A291" s="5"/>
      <c r="B291" s="5"/>
      <c r="C291" s="53"/>
      <c r="D291" s="71" t="s">
        <v>276</v>
      </c>
      <c r="E291" s="50">
        <f>1500000*12</f>
        <v>18000000</v>
      </c>
      <c r="F291" s="46"/>
      <c r="H291">
        <v>1100000</v>
      </c>
    </row>
    <row r="292" spans="1:8" hidden="1" x14ac:dyDescent="0.25">
      <c r="A292" s="5"/>
      <c r="B292" s="5"/>
      <c r="C292" s="53"/>
      <c r="D292" s="71"/>
      <c r="E292" s="50">
        <v>0</v>
      </c>
      <c r="F292" s="46"/>
      <c r="H292">
        <v>1100000</v>
      </c>
    </row>
    <row r="293" spans="1:8" x14ac:dyDescent="0.25">
      <c r="A293" s="3"/>
      <c r="B293" s="3"/>
      <c r="C293" s="34"/>
      <c r="D293" s="43" t="s">
        <v>416</v>
      </c>
      <c r="E293" s="37">
        <v>20000000</v>
      </c>
      <c r="F293" s="97"/>
      <c r="H293">
        <v>1000000</v>
      </c>
    </row>
    <row r="294" spans="1:8" hidden="1" x14ac:dyDescent="0.25">
      <c r="A294" s="5">
        <v>2</v>
      </c>
      <c r="B294" s="5">
        <v>4</v>
      </c>
      <c r="C294" s="53" t="s">
        <v>160</v>
      </c>
      <c r="D294" s="12" t="s">
        <v>280</v>
      </c>
      <c r="E294" s="54">
        <f>SUM(E295:E295)</f>
        <v>0</v>
      </c>
      <c r="F294" s="5" t="s">
        <v>3</v>
      </c>
      <c r="H294">
        <f>SUM(H289:H293)</f>
        <v>6000000</v>
      </c>
    </row>
    <row r="295" spans="1:8" hidden="1" x14ac:dyDescent="0.25">
      <c r="A295" s="5"/>
      <c r="B295" s="5"/>
      <c r="C295" s="53"/>
      <c r="D295" s="71" t="s">
        <v>281</v>
      </c>
      <c r="E295" s="50">
        <v>0</v>
      </c>
      <c r="F295" s="5"/>
      <c r="H295">
        <f>H294*12</f>
        <v>72000000</v>
      </c>
    </row>
    <row r="296" spans="1:8" ht="30" hidden="1" x14ac:dyDescent="0.25">
      <c r="A296" s="3">
        <v>2</v>
      </c>
      <c r="B296" s="3">
        <v>4</v>
      </c>
      <c r="C296" s="34">
        <v>11</v>
      </c>
      <c r="D296" s="2" t="s">
        <v>282</v>
      </c>
      <c r="E296" s="35">
        <f>SUM(E297:E298)</f>
        <v>0</v>
      </c>
      <c r="F296" s="3" t="s">
        <v>3</v>
      </c>
    </row>
    <row r="297" spans="1:8" hidden="1" x14ac:dyDescent="0.25">
      <c r="A297" s="3"/>
      <c r="B297" s="3"/>
      <c r="C297" s="34"/>
      <c r="D297" s="71" t="s">
        <v>564</v>
      </c>
      <c r="E297" s="51">
        <v>0</v>
      </c>
      <c r="F297" s="42" t="s">
        <v>3</v>
      </c>
      <c r="G297">
        <v>187000000</v>
      </c>
    </row>
    <row r="298" spans="1:8" hidden="1" x14ac:dyDescent="0.25">
      <c r="A298" s="3"/>
      <c r="B298" s="3"/>
      <c r="C298" s="34"/>
      <c r="D298" s="71" t="s">
        <v>283</v>
      </c>
      <c r="E298" s="50">
        <v>0</v>
      </c>
      <c r="F298" s="42" t="s">
        <v>4</v>
      </c>
    </row>
    <row r="299" spans="1:8" ht="30" x14ac:dyDescent="0.25">
      <c r="A299" s="3">
        <v>2</v>
      </c>
      <c r="B299" s="3">
        <v>4</v>
      </c>
      <c r="C299" s="106">
        <v>12</v>
      </c>
      <c r="D299" s="107" t="s">
        <v>284</v>
      </c>
      <c r="E299" s="35">
        <f>E300</f>
        <v>180000000</v>
      </c>
      <c r="F299" s="3" t="s">
        <v>3</v>
      </c>
    </row>
    <row r="300" spans="1:8" x14ac:dyDescent="0.25">
      <c r="A300" s="5"/>
      <c r="B300" s="5"/>
      <c r="C300" s="108"/>
      <c r="D300" s="43" t="s">
        <v>563</v>
      </c>
      <c r="E300" s="37">
        <v>180000000</v>
      </c>
      <c r="F300" s="92"/>
      <c r="G300" s="173">
        <f>E300/2000</f>
        <v>90000</v>
      </c>
    </row>
    <row r="301" spans="1:8" hidden="1" x14ac:dyDescent="0.25">
      <c r="A301" s="3">
        <v>2</v>
      </c>
      <c r="B301" s="3">
        <v>4</v>
      </c>
      <c r="C301" s="34" t="s">
        <v>286</v>
      </c>
      <c r="D301" s="2" t="s">
        <v>287</v>
      </c>
      <c r="E301" s="109"/>
      <c r="F301" s="97"/>
    </row>
    <row r="302" spans="1:8" ht="30" hidden="1" x14ac:dyDescent="0.25">
      <c r="A302" s="3">
        <v>2</v>
      </c>
      <c r="B302" s="3">
        <v>4</v>
      </c>
      <c r="C302" s="34" t="s">
        <v>257</v>
      </c>
      <c r="D302" s="2" t="s">
        <v>288</v>
      </c>
      <c r="E302" s="35">
        <f>E303</f>
        <v>0</v>
      </c>
      <c r="F302" s="3" t="s">
        <v>3</v>
      </c>
    </row>
    <row r="303" spans="1:8" hidden="1" x14ac:dyDescent="0.25">
      <c r="A303" s="5"/>
      <c r="B303" s="5"/>
      <c r="C303" s="53"/>
      <c r="D303" s="43" t="s">
        <v>289</v>
      </c>
      <c r="E303" s="37">
        <v>0</v>
      </c>
      <c r="F303" s="92"/>
    </row>
    <row r="304" spans="1:8" s="185" customFormat="1" ht="30" x14ac:dyDescent="0.25">
      <c r="A304" s="3">
        <v>2</v>
      </c>
      <c r="B304" s="3">
        <v>4</v>
      </c>
      <c r="C304" s="34" t="s">
        <v>261</v>
      </c>
      <c r="D304" s="2" t="s">
        <v>290</v>
      </c>
      <c r="E304" s="35">
        <f>SUM(E305:E307)</f>
        <v>5000000</v>
      </c>
      <c r="F304" s="3" t="s">
        <v>3</v>
      </c>
    </row>
    <row r="305" spans="1:6" x14ac:dyDescent="0.25">
      <c r="A305" s="3"/>
      <c r="B305" s="3"/>
      <c r="C305" s="34"/>
      <c r="D305" s="43" t="s">
        <v>587</v>
      </c>
      <c r="E305" s="37">
        <v>5000000</v>
      </c>
      <c r="F305" s="36" t="s">
        <v>3</v>
      </c>
    </row>
    <row r="306" spans="1:6" x14ac:dyDescent="0.25">
      <c r="A306" s="5"/>
      <c r="B306" s="5"/>
      <c r="C306" s="53"/>
      <c r="D306" s="222" t="s">
        <v>590</v>
      </c>
      <c r="E306" s="50">
        <v>0</v>
      </c>
      <c r="F306" s="42"/>
    </row>
    <row r="307" spans="1:6" hidden="1" x14ac:dyDescent="0.25">
      <c r="A307" s="5"/>
      <c r="B307" s="5"/>
      <c r="C307" s="53"/>
      <c r="D307" s="71" t="s">
        <v>279</v>
      </c>
      <c r="E307" s="50">
        <v>0</v>
      </c>
      <c r="F307" s="42" t="s">
        <v>3</v>
      </c>
    </row>
    <row r="308" spans="1:6" hidden="1" x14ac:dyDescent="0.25">
      <c r="A308" s="5"/>
      <c r="B308" s="5"/>
      <c r="C308" s="53"/>
      <c r="D308" s="71"/>
      <c r="E308" s="64"/>
      <c r="F308" s="5"/>
    </row>
    <row r="309" spans="1:6" ht="30" x14ac:dyDescent="0.25">
      <c r="A309" s="3">
        <v>2</v>
      </c>
      <c r="B309" s="3">
        <v>4</v>
      </c>
      <c r="C309" s="34" t="s">
        <v>264</v>
      </c>
      <c r="D309" s="110" t="s">
        <v>292</v>
      </c>
      <c r="E309" s="45">
        <f>E310</f>
        <v>5000000</v>
      </c>
      <c r="F309" s="4" t="s">
        <v>3</v>
      </c>
    </row>
    <row r="310" spans="1:6" s="263" customFormat="1" x14ac:dyDescent="0.25">
      <c r="A310" s="48"/>
      <c r="B310" s="48"/>
      <c r="C310" s="62"/>
      <c r="D310" s="120" t="s">
        <v>589</v>
      </c>
      <c r="E310" s="49">
        <v>5000000</v>
      </c>
      <c r="F310" s="48"/>
    </row>
    <row r="311" spans="1:6" hidden="1" x14ac:dyDescent="0.25">
      <c r="A311" s="5"/>
      <c r="B311" s="5"/>
      <c r="C311" s="53"/>
      <c r="D311" s="111"/>
      <c r="E311" s="112"/>
      <c r="F311" s="113"/>
    </row>
    <row r="312" spans="1:6" hidden="1" x14ac:dyDescent="0.25">
      <c r="A312" s="5"/>
      <c r="B312" s="5"/>
      <c r="C312" s="53"/>
      <c r="D312" s="111"/>
      <c r="E312" s="112"/>
      <c r="F312" s="113"/>
    </row>
    <row r="313" spans="1:6" x14ac:dyDescent="0.25">
      <c r="A313" s="10">
        <v>2</v>
      </c>
      <c r="B313" s="10">
        <v>5</v>
      </c>
      <c r="C313" s="10"/>
      <c r="D313" s="114" t="s">
        <v>294</v>
      </c>
      <c r="E313" s="115">
        <f>E314+E317</f>
        <v>3000000</v>
      </c>
      <c r="F313" s="10"/>
    </row>
    <row r="314" spans="1:6" s="185" customFormat="1" x14ac:dyDescent="0.25">
      <c r="A314" s="92">
        <v>2</v>
      </c>
      <c r="B314" s="5">
        <v>5</v>
      </c>
      <c r="C314" s="53" t="s">
        <v>89</v>
      </c>
      <c r="D314" s="5" t="s">
        <v>295</v>
      </c>
      <c r="E314" s="54">
        <f>SUM(E315:E316)</f>
        <v>3000000</v>
      </c>
      <c r="F314" s="5" t="s">
        <v>3</v>
      </c>
    </row>
    <row r="315" spans="1:6" x14ac:dyDescent="0.25">
      <c r="A315" s="92"/>
      <c r="B315" s="92"/>
      <c r="C315" s="116"/>
      <c r="D315" s="42" t="s">
        <v>296</v>
      </c>
      <c r="E315" s="50">
        <v>1000000</v>
      </c>
      <c r="F315" s="42" t="s">
        <v>3</v>
      </c>
    </row>
    <row r="316" spans="1:6" x14ac:dyDescent="0.25">
      <c r="A316" s="92"/>
      <c r="B316" s="92"/>
      <c r="C316" s="116"/>
      <c r="D316" s="42" t="s">
        <v>297</v>
      </c>
      <c r="E316" s="50">
        <v>2000000</v>
      </c>
      <c r="F316" s="42" t="s">
        <v>3</v>
      </c>
    </row>
    <row r="317" spans="1:6" s="185" customFormat="1" ht="30" hidden="1" x14ac:dyDescent="0.25">
      <c r="A317" s="5">
        <v>2</v>
      </c>
      <c r="B317" s="5">
        <v>5</v>
      </c>
      <c r="C317" s="53" t="s">
        <v>98</v>
      </c>
      <c r="D317" s="187" t="s">
        <v>298</v>
      </c>
      <c r="E317" s="35">
        <f>E318</f>
        <v>0</v>
      </c>
      <c r="F317" s="3" t="s">
        <v>3</v>
      </c>
    </row>
    <row r="318" spans="1:6" hidden="1" x14ac:dyDescent="0.25">
      <c r="A318" s="92"/>
      <c r="B318" s="92"/>
      <c r="C318" s="92"/>
      <c r="D318" s="71" t="s">
        <v>299</v>
      </c>
      <c r="E318" s="37"/>
      <c r="F318" s="36" t="s">
        <v>3</v>
      </c>
    </row>
    <row r="319" spans="1:6" hidden="1" x14ac:dyDescent="0.25">
      <c r="A319" s="92"/>
      <c r="B319" s="92"/>
      <c r="C319" s="92"/>
      <c r="D319" s="71"/>
      <c r="E319" s="50"/>
      <c r="F319" s="42"/>
    </row>
    <row r="320" spans="1:6" x14ac:dyDescent="0.25">
      <c r="A320" s="117">
        <v>2</v>
      </c>
      <c r="B320" s="117">
        <v>6</v>
      </c>
      <c r="C320" s="117"/>
      <c r="D320" s="13" t="s">
        <v>52</v>
      </c>
      <c r="E320" s="118">
        <f>E321+E325+E331</f>
        <v>45400000</v>
      </c>
      <c r="F320" s="69"/>
    </row>
    <row r="321" spans="1:7" hidden="1" x14ac:dyDescent="0.25">
      <c r="A321" s="5">
        <v>2</v>
      </c>
      <c r="B321" s="5">
        <v>6</v>
      </c>
      <c r="C321" s="53" t="s">
        <v>85</v>
      </c>
      <c r="D321" s="12" t="s">
        <v>300</v>
      </c>
      <c r="E321" s="54">
        <f>SUM(E322:E324)</f>
        <v>0</v>
      </c>
      <c r="F321" s="5" t="s">
        <v>3</v>
      </c>
    </row>
    <row r="322" spans="1:7" hidden="1" x14ac:dyDescent="0.25">
      <c r="A322" s="5"/>
      <c r="B322" s="5"/>
      <c r="C322" s="53"/>
      <c r="D322" s="71" t="s">
        <v>301</v>
      </c>
      <c r="E322" s="75"/>
      <c r="F322" s="46"/>
    </row>
    <row r="323" spans="1:7" hidden="1" x14ac:dyDescent="0.25">
      <c r="A323" s="5"/>
      <c r="B323" s="5"/>
      <c r="C323" s="53"/>
      <c r="D323" s="71" t="s">
        <v>302</v>
      </c>
      <c r="E323" s="75"/>
      <c r="F323" s="46"/>
    </row>
    <row r="324" spans="1:7" hidden="1" x14ac:dyDescent="0.25">
      <c r="A324" s="5"/>
      <c r="B324" s="5"/>
      <c r="C324" s="53"/>
      <c r="D324" s="71" t="s">
        <v>303</v>
      </c>
      <c r="E324" s="75"/>
      <c r="F324" s="46"/>
    </row>
    <row r="325" spans="1:7" ht="33.75" customHeight="1" x14ac:dyDescent="0.25">
      <c r="A325" s="3">
        <v>2</v>
      </c>
      <c r="B325" s="3">
        <v>6</v>
      </c>
      <c r="C325" s="34" t="s">
        <v>89</v>
      </c>
      <c r="D325" s="2" t="s">
        <v>53</v>
      </c>
      <c r="E325" s="35">
        <f>SUM(E326:E330)</f>
        <v>45400000</v>
      </c>
      <c r="F325" s="2" t="s">
        <v>304</v>
      </c>
    </row>
    <row r="326" spans="1:7" hidden="1" x14ac:dyDescent="0.25">
      <c r="A326" s="3"/>
      <c r="B326" s="3"/>
      <c r="C326" s="34"/>
      <c r="D326" s="42" t="s">
        <v>161</v>
      </c>
      <c r="E326" s="50">
        <v>0</v>
      </c>
      <c r="F326" s="2"/>
    </row>
    <row r="327" spans="1:7" x14ac:dyDescent="0.25">
      <c r="A327" s="3"/>
      <c r="B327" s="3"/>
      <c r="C327" s="34"/>
      <c r="D327" s="48" t="s">
        <v>162</v>
      </c>
      <c r="E327" s="49">
        <v>24000000</v>
      </c>
      <c r="F327" s="43" t="s">
        <v>3</v>
      </c>
      <c r="G327" s="173">
        <f>E327/12</f>
        <v>2000000</v>
      </c>
    </row>
    <row r="328" spans="1:7" x14ac:dyDescent="0.25">
      <c r="A328" s="3"/>
      <c r="B328" s="3"/>
      <c r="C328" s="34"/>
      <c r="D328" s="48" t="s">
        <v>586</v>
      </c>
      <c r="E328" s="49">
        <f>1700000*12</f>
        <v>20400000</v>
      </c>
      <c r="F328" s="43" t="s">
        <v>3</v>
      </c>
      <c r="G328" s="173">
        <f>E328/12</f>
        <v>1700000</v>
      </c>
    </row>
    <row r="329" spans="1:7" x14ac:dyDescent="0.25">
      <c r="A329" s="3"/>
      <c r="B329" s="3"/>
      <c r="C329" s="34"/>
      <c r="D329" s="43" t="s">
        <v>305</v>
      </c>
      <c r="E329" s="37">
        <v>1000000</v>
      </c>
      <c r="F329" s="43" t="s">
        <v>6</v>
      </c>
      <c r="G329" t="s">
        <v>0</v>
      </c>
    </row>
    <row r="330" spans="1:7" hidden="1" x14ac:dyDescent="0.25">
      <c r="A330" s="3"/>
      <c r="B330" s="3"/>
      <c r="C330" s="34"/>
      <c r="D330" s="103" t="s">
        <v>306</v>
      </c>
      <c r="E330" s="104">
        <v>0</v>
      </c>
      <c r="F330" s="119"/>
    </row>
    <row r="331" spans="1:7" ht="30" hidden="1" x14ac:dyDescent="0.25">
      <c r="A331" s="93">
        <v>2</v>
      </c>
      <c r="B331" s="93">
        <v>6</v>
      </c>
      <c r="C331" s="94" t="s">
        <v>98</v>
      </c>
      <c r="D331" s="95" t="s">
        <v>307</v>
      </c>
      <c r="E331" s="96">
        <f>SUM(E332:E333)</f>
        <v>0</v>
      </c>
      <c r="F331" s="95" t="s">
        <v>3</v>
      </c>
    </row>
    <row r="332" spans="1:7" hidden="1" x14ac:dyDescent="0.25">
      <c r="A332" s="3"/>
      <c r="B332" s="3"/>
      <c r="C332" s="34"/>
      <c r="D332" s="103" t="s">
        <v>308</v>
      </c>
      <c r="E332" s="104">
        <v>0</v>
      </c>
      <c r="F332" s="2"/>
    </row>
    <row r="333" spans="1:7" hidden="1" x14ac:dyDescent="0.25">
      <c r="A333" s="3"/>
      <c r="B333" s="3"/>
      <c r="C333" s="34"/>
      <c r="D333" s="103" t="s">
        <v>309</v>
      </c>
      <c r="E333" s="104"/>
      <c r="F333" s="119"/>
    </row>
    <row r="334" spans="1:7" x14ac:dyDescent="0.25">
      <c r="A334" s="10">
        <v>2</v>
      </c>
      <c r="B334" s="10">
        <v>7</v>
      </c>
      <c r="C334" s="10"/>
      <c r="D334" s="114" t="s">
        <v>310</v>
      </c>
      <c r="E334" s="115">
        <f>E335+E336</f>
        <v>9000000</v>
      </c>
      <c r="F334" s="10"/>
    </row>
    <row r="335" spans="1:7" s="70" customFormat="1" ht="30" hidden="1" x14ac:dyDescent="0.25">
      <c r="A335" s="3">
        <v>2</v>
      </c>
      <c r="B335" s="3">
        <v>7</v>
      </c>
      <c r="C335" s="34" t="s">
        <v>85</v>
      </c>
      <c r="D335" s="260" t="s">
        <v>575</v>
      </c>
      <c r="E335" s="35"/>
      <c r="F335" s="3"/>
    </row>
    <row r="336" spans="1:7" s="70" customFormat="1" ht="30" x14ac:dyDescent="0.25">
      <c r="A336" s="3">
        <v>2</v>
      </c>
      <c r="B336" s="3">
        <v>7</v>
      </c>
      <c r="C336" s="34" t="s">
        <v>89</v>
      </c>
      <c r="D336" s="260" t="s">
        <v>576</v>
      </c>
      <c r="E336" s="35">
        <f>SUM(E337:E338)</f>
        <v>9000000</v>
      </c>
      <c r="F336" s="3" t="s">
        <v>3</v>
      </c>
    </row>
    <row r="337" spans="1:6" s="262" customFormat="1" x14ac:dyDescent="0.25">
      <c r="A337" s="36"/>
      <c r="B337" s="36"/>
      <c r="C337" s="38"/>
      <c r="D337" s="261" t="s">
        <v>581</v>
      </c>
      <c r="E337" s="37">
        <v>5000000</v>
      </c>
      <c r="F337" s="36" t="s">
        <v>3</v>
      </c>
    </row>
    <row r="338" spans="1:6" s="237" customFormat="1" x14ac:dyDescent="0.25">
      <c r="A338" s="42"/>
      <c r="B338" s="42"/>
      <c r="C338" s="42"/>
      <c r="D338" s="71" t="s">
        <v>588</v>
      </c>
      <c r="E338" s="50">
        <v>4000000</v>
      </c>
      <c r="F338" s="42" t="s">
        <v>3</v>
      </c>
    </row>
    <row r="339" spans="1:6" x14ac:dyDescent="0.25">
      <c r="A339" s="10">
        <v>2</v>
      </c>
      <c r="B339" s="10">
        <v>8</v>
      </c>
      <c r="C339" s="8"/>
      <c r="D339" s="114" t="s">
        <v>311</v>
      </c>
      <c r="E339" s="57">
        <f>E343</f>
        <v>9000000</v>
      </c>
      <c r="F339" s="8"/>
    </row>
    <row r="340" spans="1:6" hidden="1" x14ac:dyDescent="0.25">
      <c r="A340" s="3">
        <v>2</v>
      </c>
      <c r="B340" s="3">
        <v>8</v>
      </c>
      <c r="C340" s="34" t="s">
        <v>85</v>
      </c>
      <c r="D340" s="2" t="s">
        <v>312</v>
      </c>
      <c r="E340" s="35"/>
      <c r="F340" s="3"/>
    </row>
    <row r="341" spans="1:6" s="188" customFormat="1" ht="30" hidden="1" x14ac:dyDescent="0.25">
      <c r="A341" s="3">
        <v>2</v>
      </c>
      <c r="B341" s="3">
        <v>8</v>
      </c>
      <c r="C341" s="34" t="s">
        <v>89</v>
      </c>
      <c r="D341" s="2" t="s">
        <v>313</v>
      </c>
      <c r="E341" s="35"/>
      <c r="F341" s="3"/>
    </row>
    <row r="342" spans="1:6" hidden="1" x14ac:dyDescent="0.25">
      <c r="A342" s="5"/>
      <c r="B342" s="5"/>
      <c r="C342" s="53"/>
      <c r="D342" s="12"/>
      <c r="E342" s="54"/>
      <c r="F342" s="5"/>
    </row>
    <row r="343" spans="1:6" s="185" customFormat="1" x14ac:dyDescent="0.25">
      <c r="A343" s="5">
        <v>2</v>
      </c>
      <c r="B343" s="5">
        <v>8</v>
      </c>
      <c r="C343" s="53" t="s">
        <v>98</v>
      </c>
      <c r="D343" s="17" t="s">
        <v>314</v>
      </c>
      <c r="E343" s="54">
        <f>SUM(E344:E346)</f>
        <v>9000000</v>
      </c>
      <c r="F343" s="5" t="s">
        <v>3</v>
      </c>
    </row>
    <row r="344" spans="1:6" x14ac:dyDescent="0.25">
      <c r="A344" s="5"/>
      <c r="B344" s="5"/>
      <c r="C344" s="53"/>
      <c r="D344" s="120" t="s">
        <v>584</v>
      </c>
      <c r="E344" s="49">
        <v>9000000</v>
      </c>
      <c r="F344" s="92" t="s">
        <v>3</v>
      </c>
    </row>
    <row r="345" spans="1:6" hidden="1" x14ac:dyDescent="0.25">
      <c r="A345" s="5"/>
      <c r="B345" s="5"/>
      <c r="C345" s="53"/>
      <c r="D345" s="120"/>
      <c r="E345" s="49"/>
      <c r="F345" s="92" t="s">
        <v>3</v>
      </c>
    </row>
    <row r="346" spans="1:6" hidden="1" x14ac:dyDescent="0.25">
      <c r="A346" s="5"/>
      <c r="B346" s="5"/>
      <c r="C346" s="53"/>
      <c r="D346" s="120"/>
      <c r="E346" s="49">
        <v>0</v>
      </c>
      <c r="F346" s="92" t="s">
        <v>316</v>
      </c>
    </row>
    <row r="347" spans="1:6" x14ac:dyDescent="0.25">
      <c r="A347" s="11">
        <v>3</v>
      </c>
      <c r="B347" s="11"/>
      <c r="C347" s="11"/>
      <c r="D347" s="14" t="s">
        <v>54</v>
      </c>
      <c r="E347" s="88">
        <f>E348+E366+E383+E395</f>
        <v>74500000</v>
      </c>
      <c r="F347" s="11"/>
    </row>
    <row r="348" spans="1:6" ht="30" x14ac:dyDescent="0.25">
      <c r="A348" s="119">
        <v>3</v>
      </c>
      <c r="B348" s="121">
        <v>1</v>
      </c>
      <c r="C348" s="121"/>
      <c r="D348" s="15" t="s">
        <v>55</v>
      </c>
      <c r="E348" s="122">
        <f>E349+E357+E362</f>
        <v>34500000</v>
      </c>
      <c r="F348" s="121"/>
    </row>
    <row r="349" spans="1:6" ht="15.75" customHeight="1" x14ac:dyDescent="0.25">
      <c r="A349" s="5">
        <v>3</v>
      </c>
      <c r="B349" s="5">
        <v>1</v>
      </c>
      <c r="C349" s="53" t="s">
        <v>85</v>
      </c>
      <c r="D349" s="12" t="s">
        <v>60</v>
      </c>
      <c r="E349" s="54">
        <f>E350+E353</f>
        <v>34500000</v>
      </c>
      <c r="F349" s="5" t="s">
        <v>1</v>
      </c>
    </row>
    <row r="350" spans="1:6" ht="18" hidden="1" customHeight="1" x14ac:dyDescent="0.25">
      <c r="A350" s="5"/>
      <c r="B350" s="5"/>
      <c r="C350" s="53"/>
      <c r="D350" s="72" t="s">
        <v>317</v>
      </c>
      <c r="E350" s="64">
        <f>SUM(E351:E352)</f>
        <v>0</v>
      </c>
      <c r="F350" s="63" t="s">
        <v>3</v>
      </c>
    </row>
    <row r="351" spans="1:6" hidden="1" x14ac:dyDescent="0.25">
      <c r="A351" s="5"/>
      <c r="B351" s="5"/>
      <c r="C351" s="53"/>
      <c r="D351" s="71" t="s">
        <v>318</v>
      </c>
      <c r="E351" s="51">
        <v>0</v>
      </c>
      <c r="F351" s="42" t="s">
        <v>3</v>
      </c>
    </row>
    <row r="352" spans="1:6" hidden="1" x14ac:dyDescent="0.25">
      <c r="A352" s="5"/>
      <c r="B352" s="5"/>
      <c r="C352" s="53"/>
      <c r="D352" s="71" t="s">
        <v>319</v>
      </c>
      <c r="E352" s="51">
        <v>0</v>
      </c>
      <c r="F352" s="42" t="s">
        <v>3</v>
      </c>
    </row>
    <row r="353" spans="1:8" ht="15.75" customHeight="1" x14ac:dyDescent="0.25">
      <c r="A353" s="5"/>
      <c r="B353" s="5"/>
      <c r="C353" s="53"/>
      <c r="D353" s="72" t="s">
        <v>557</v>
      </c>
      <c r="E353" s="64">
        <f>SUM(E354:E356)</f>
        <v>34500000</v>
      </c>
      <c r="F353" s="63" t="s">
        <v>1</v>
      </c>
    </row>
    <row r="354" spans="1:8" ht="20.25" customHeight="1" x14ac:dyDescent="0.25">
      <c r="A354" s="3"/>
      <c r="B354" s="3"/>
      <c r="C354" s="34"/>
      <c r="D354" s="43" t="s">
        <v>558</v>
      </c>
      <c r="E354" s="37">
        <v>9000000</v>
      </c>
      <c r="F354" s="43" t="s">
        <v>1</v>
      </c>
    </row>
    <row r="355" spans="1:8" ht="17.25" customHeight="1" x14ac:dyDescent="0.25">
      <c r="A355" s="5"/>
      <c r="B355" s="5"/>
      <c r="C355" s="53"/>
      <c r="D355" s="71" t="s">
        <v>559</v>
      </c>
      <c r="E355" s="50">
        <v>3000000</v>
      </c>
      <c r="F355" s="48" t="s">
        <v>1</v>
      </c>
    </row>
    <row r="356" spans="1:8" s="204" customFormat="1" x14ac:dyDescent="0.25">
      <c r="A356" s="63"/>
      <c r="B356" s="63"/>
      <c r="C356" s="259"/>
      <c r="D356" s="71" t="s">
        <v>560</v>
      </c>
      <c r="E356" s="50">
        <v>22500000</v>
      </c>
      <c r="F356" s="48" t="s">
        <v>1</v>
      </c>
      <c r="H356" s="204">
        <f>750000*30</f>
        <v>22500000</v>
      </c>
    </row>
    <row r="357" spans="1:8" ht="30" hidden="1" x14ac:dyDescent="0.25">
      <c r="A357" s="5">
        <v>3</v>
      </c>
      <c r="B357" s="5">
        <v>1</v>
      </c>
      <c r="C357" s="53" t="s">
        <v>89</v>
      </c>
      <c r="D357" s="12" t="s">
        <v>323</v>
      </c>
      <c r="E357" s="75"/>
      <c r="F357" s="46"/>
    </row>
    <row r="358" spans="1:8" ht="30" hidden="1" x14ac:dyDescent="0.25">
      <c r="A358" s="5">
        <v>3</v>
      </c>
      <c r="B358" s="5">
        <v>1</v>
      </c>
      <c r="C358" s="53" t="s">
        <v>98</v>
      </c>
      <c r="D358" s="12" t="s">
        <v>324</v>
      </c>
      <c r="E358" s="75"/>
      <c r="F358" s="46"/>
    </row>
    <row r="359" spans="1:8" hidden="1" x14ac:dyDescent="0.25">
      <c r="A359" s="3">
        <v>3</v>
      </c>
      <c r="B359" s="3">
        <v>1</v>
      </c>
      <c r="C359" s="34" t="s">
        <v>109</v>
      </c>
      <c r="D359" s="2" t="s">
        <v>325</v>
      </c>
      <c r="E359" s="109"/>
      <c r="F359" s="97"/>
    </row>
    <row r="360" spans="1:8" hidden="1" x14ac:dyDescent="0.25">
      <c r="A360" s="5">
        <v>3</v>
      </c>
      <c r="B360" s="5">
        <v>1</v>
      </c>
      <c r="C360" s="53" t="s">
        <v>122</v>
      </c>
      <c r="D360" s="12" t="s">
        <v>326</v>
      </c>
      <c r="E360" s="75"/>
      <c r="F360" s="46"/>
    </row>
    <row r="361" spans="1:8" hidden="1" x14ac:dyDescent="0.25">
      <c r="A361" s="5">
        <v>3</v>
      </c>
      <c r="B361" s="5">
        <v>1</v>
      </c>
      <c r="C361" s="53" t="s">
        <v>125</v>
      </c>
      <c r="D361" s="12" t="s">
        <v>327</v>
      </c>
      <c r="E361" s="75"/>
      <c r="F361" s="46"/>
    </row>
    <row r="362" spans="1:8" ht="30" hidden="1" x14ac:dyDescent="0.25">
      <c r="A362" s="5">
        <v>3</v>
      </c>
      <c r="B362" s="5">
        <v>1</v>
      </c>
      <c r="C362" s="53" t="s">
        <v>159</v>
      </c>
      <c r="D362" s="12" t="s">
        <v>328</v>
      </c>
      <c r="E362" s="75">
        <f>SUM(E363:E365)</f>
        <v>0</v>
      </c>
      <c r="F362" s="46"/>
    </row>
    <row r="363" spans="1:8" hidden="1" x14ac:dyDescent="0.25">
      <c r="A363" s="5"/>
      <c r="B363" s="5"/>
      <c r="C363" s="53"/>
      <c r="D363" s="12"/>
      <c r="E363" s="75"/>
      <c r="F363" s="46"/>
    </row>
    <row r="364" spans="1:8" hidden="1" x14ac:dyDescent="0.25">
      <c r="A364" s="5"/>
      <c r="B364" s="5"/>
      <c r="C364" s="53"/>
      <c r="D364" s="12"/>
      <c r="E364" s="75"/>
      <c r="F364" s="46"/>
    </row>
    <row r="365" spans="1:8" hidden="1" x14ac:dyDescent="0.25">
      <c r="A365" s="5"/>
      <c r="B365" s="5"/>
      <c r="C365" s="53"/>
      <c r="D365" s="12"/>
      <c r="E365" s="75"/>
      <c r="F365" s="46"/>
    </row>
    <row r="366" spans="1:8" x14ac:dyDescent="0.25">
      <c r="A366" s="121">
        <v>3</v>
      </c>
      <c r="B366" s="121">
        <v>2</v>
      </c>
      <c r="C366" s="121"/>
      <c r="D366" s="15" t="s">
        <v>56</v>
      </c>
      <c r="E366" s="122">
        <f>E367+E369+E372</f>
        <v>21000000</v>
      </c>
      <c r="F366" s="15"/>
    </row>
    <row r="367" spans="1:8" x14ac:dyDescent="0.25">
      <c r="A367" s="3">
        <v>3</v>
      </c>
      <c r="B367" s="3">
        <v>2</v>
      </c>
      <c r="C367" s="34" t="s">
        <v>85</v>
      </c>
      <c r="D367" s="2" t="s">
        <v>57</v>
      </c>
      <c r="E367" s="109">
        <f>SUM(E368:E368)</f>
        <v>10000000</v>
      </c>
      <c r="F367" s="97" t="s">
        <v>1</v>
      </c>
    </row>
    <row r="368" spans="1:8" ht="13.5" customHeight="1" x14ac:dyDescent="0.25">
      <c r="A368" s="3"/>
      <c r="B368" s="3"/>
      <c r="C368" s="34"/>
      <c r="D368" s="43" t="s">
        <v>329</v>
      </c>
      <c r="E368" s="37">
        <v>10000000</v>
      </c>
      <c r="F368" s="36" t="s">
        <v>1</v>
      </c>
    </row>
    <row r="369" spans="1:6" ht="29.25" customHeight="1" x14ac:dyDescent="0.25">
      <c r="A369" s="3">
        <v>3</v>
      </c>
      <c r="B369" s="3">
        <v>2</v>
      </c>
      <c r="C369" s="34" t="s">
        <v>89</v>
      </c>
      <c r="D369" s="2" t="s">
        <v>58</v>
      </c>
      <c r="E369" s="35">
        <f>SUM(E370:E371)</f>
        <v>7000000</v>
      </c>
      <c r="F369" s="3" t="s">
        <v>330</v>
      </c>
    </row>
    <row r="370" spans="1:6" x14ac:dyDescent="0.25">
      <c r="A370" s="3"/>
      <c r="B370" s="3"/>
      <c r="C370" s="34"/>
      <c r="D370" s="103" t="s">
        <v>331</v>
      </c>
      <c r="E370" s="104">
        <v>2000000</v>
      </c>
      <c r="F370" s="105" t="s">
        <v>1</v>
      </c>
    </row>
    <row r="371" spans="1:6" ht="19.5" customHeight="1" x14ac:dyDescent="0.25">
      <c r="A371" s="3"/>
      <c r="B371" s="3"/>
      <c r="C371" s="34"/>
      <c r="D371" s="103" t="s">
        <v>332</v>
      </c>
      <c r="E371" s="104">
        <v>5000000</v>
      </c>
      <c r="F371" s="105" t="s">
        <v>2</v>
      </c>
    </row>
    <row r="372" spans="1:6" ht="29.25" customHeight="1" x14ac:dyDescent="0.25">
      <c r="A372" s="3">
        <v>3</v>
      </c>
      <c r="B372" s="3">
        <v>2</v>
      </c>
      <c r="C372" s="34" t="s">
        <v>98</v>
      </c>
      <c r="D372" s="2" t="s">
        <v>561</v>
      </c>
      <c r="E372" s="35">
        <f>E373</f>
        <v>4000000</v>
      </c>
      <c r="F372" s="3" t="s">
        <v>2</v>
      </c>
    </row>
    <row r="373" spans="1:6" ht="18.75" customHeight="1" x14ac:dyDescent="0.25">
      <c r="A373" s="3"/>
      <c r="B373" s="3"/>
      <c r="C373" s="34"/>
      <c r="D373" s="43" t="s">
        <v>333</v>
      </c>
      <c r="E373" s="109">
        <v>4000000</v>
      </c>
      <c r="F373" s="36" t="s">
        <v>2</v>
      </c>
    </row>
    <row r="374" spans="1:6" hidden="1" x14ac:dyDescent="0.25">
      <c r="A374" s="3"/>
      <c r="B374" s="3"/>
      <c r="C374" s="34"/>
      <c r="D374" s="2"/>
      <c r="E374" s="109"/>
      <c r="F374" s="97"/>
    </row>
    <row r="375" spans="1:6" ht="30" hidden="1" x14ac:dyDescent="0.25">
      <c r="A375" s="5">
        <v>3</v>
      </c>
      <c r="B375" s="5">
        <v>2</v>
      </c>
      <c r="C375" s="53" t="s">
        <v>122</v>
      </c>
      <c r="D375" s="12" t="s">
        <v>334</v>
      </c>
      <c r="E375" s="75"/>
      <c r="F375" s="46"/>
    </row>
    <row r="376" spans="1:6" ht="45" hidden="1" x14ac:dyDescent="0.25">
      <c r="A376" s="5">
        <v>3</v>
      </c>
      <c r="B376" s="5">
        <v>2</v>
      </c>
      <c r="C376" s="53" t="s">
        <v>98</v>
      </c>
      <c r="D376" s="12" t="s">
        <v>335</v>
      </c>
      <c r="E376" s="75"/>
      <c r="F376" s="46"/>
    </row>
    <row r="377" spans="1:6" hidden="1" x14ac:dyDescent="0.25">
      <c r="A377" s="5"/>
      <c r="B377" s="5"/>
      <c r="C377" s="53"/>
      <c r="D377" s="4" t="s">
        <v>336</v>
      </c>
      <c r="E377" s="124">
        <v>0</v>
      </c>
      <c r="F377" s="46" t="s">
        <v>4</v>
      </c>
    </row>
    <row r="378" spans="1:6" hidden="1" x14ac:dyDescent="0.25">
      <c r="A378" s="5"/>
      <c r="B378" s="5"/>
      <c r="C378" s="53"/>
      <c r="D378" s="4" t="s">
        <v>337</v>
      </c>
      <c r="E378" s="124">
        <v>0</v>
      </c>
      <c r="F378" s="46" t="s">
        <v>338</v>
      </c>
    </row>
    <row r="379" spans="1:6" hidden="1" x14ac:dyDescent="0.25">
      <c r="A379" s="5"/>
      <c r="B379" s="5"/>
      <c r="C379" s="53"/>
      <c r="D379" s="4" t="s">
        <v>339</v>
      </c>
      <c r="E379" s="124">
        <v>0</v>
      </c>
      <c r="F379" s="46" t="s">
        <v>4</v>
      </c>
    </row>
    <row r="380" spans="1:6" ht="30" hidden="1" x14ac:dyDescent="0.25">
      <c r="A380" s="3">
        <v>3</v>
      </c>
      <c r="B380" s="3">
        <v>2</v>
      </c>
      <c r="C380" s="34" t="s">
        <v>122</v>
      </c>
      <c r="D380" s="2" t="s">
        <v>340</v>
      </c>
      <c r="E380" s="109">
        <v>0</v>
      </c>
      <c r="F380" s="97" t="s">
        <v>4</v>
      </c>
    </row>
    <row r="381" spans="1:6" hidden="1" x14ac:dyDescent="0.25">
      <c r="A381" s="5"/>
      <c r="B381" s="5"/>
      <c r="C381" s="53"/>
      <c r="D381" s="17" t="s">
        <v>341</v>
      </c>
      <c r="E381" s="124">
        <v>0</v>
      </c>
      <c r="F381" s="46" t="s">
        <v>4</v>
      </c>
    </row>
    <row r="382" spans="1:6" hidden="1" x14ac:dyDescent="0.25">
      <c r="A382" s="5"/>
      <c r="B382" s="5"/>
      <c r="C382" s="53"/>
      <c r="D382" s="2" t="s">
        <v>342</v>
      </c>
      <c r="E382" s="109">
        <v>0</v>
      </c>
      <c r="F382" s="97" t="s">
        <v>4</v>
      </c>
    </row>
    <row r="383" spans="1:6" x14ac:dyDescent="0.25">
      <c r="A383" s="125">
        <v>3</v>
      </c>
      <c r="B383" s="125">
        <v>3</v>
      </c>
      <c r="C383" s="125"/>
      <c r="D383" s="16" t="s">
        <v>61</v>
      </c>
      <c r="E383" s="126">
        <f>E384+E388+E389+E390+E391+E393</f>
        <v>9000000</v>
      </c>
      <c r="F383" s="125"/>
    </row>
    <row r="384" spans="1:6" ht="30" customHeight="1" x14ac:dyDescent="0.25">
      <c r="A384" s="3">
        <v>3</v>
      </c>
      <c r="B384" s="3">
        <v>3</v>
      </c>
      <c r="C384" s="34" t="s">
        <v>85</v>
      </c>
      <c r="D384" s="2" t="s">
        <v>62</v>
      </c>
      <c r="E384" s="35">
        <f>SUM(E385:E387)</f>
        <v>9000000</v>
      </c>
      <c r="F384" s="3" t="s">
        <v>2</v>
      </c>
    </row>
    <row r="385" spans="1:6" ht="18.75" customHeight="1" x14ac:dyDescent="0.25">
      <c r="A385" s="3"/>
      <c r="B385" s="3"/>
      <c r="C385" s="34"/>
      <c r="D385" s="43" t="s">
        <v>343</v>
      </c>
      <c r="E385" s="37">
        <v>2000000</v>
      </c>
      <c r="F385" s="36"/>
    </row>
    <row r="386" spans="1:6" ht="14.25" customHeight="1" x14ac:dyDescent="0.25">
      <c r="A386" s="3"/>
      <c r="B386" s="3"/>
      <c r="C386" s="34"/>
      <c r="D386" s="43" t="s">
        <v>344</v>
      </c>
      <c r="E386" s="37">
        <v>5000000</v>
      </c>
      <c r="F386" s="36"/>
    </row>
    <row r="387" spans="1:6" ht="18" customHeight="1" x14ac:dyDescent="0.25">
      <c r="A387" s="3"/>
      <c r="B387" s="3"/>
      <c r="C387" s="34"/>
      <c r="D387" s="43" t="s">
        <v>414</v>
      </c>
      <c r="E387" s="37">
        <v>2000000</v>
      </c>
      <c r="F387" s="36"/>
    </row>
    <row r="388" spans="1:6" hidden="1" x14ac:dyDescent="0.25">
      <c r="A388" s="5">
        <v>3</v>
      </c>
      <c r="B388" s="5">
        <v>3</v>
      </c>
      <c r="C388" s="53" t="s">
        <v>89</v>
      </c>
      <c r="D388" s="12" t="s">
        <v>345</v>
      </c>
      <c r="E388" s="75"/>
      <c r="F388" s="46"/>
    </row>
    <row r="389" spans="1:6" ht="30" hidden="1" x14ac:dyDescent="0.25">
      <c r="A389" s="5">
        <v>3</v>
      </c>
      <c r="B389" s="5">
        <v>3</v>
      </c>
      <c r="C389" s="53" t="s">
        <v>98</v>
      </c>
      <c r="D389" s="12" t="s">
        <v>346</v>
      </c>
      <c r="E389" s="75"/>
      <c r="F389" s="46"/>
    </row>
    <row r="390" spans="1:6" ht="30" hidden="1" x14ac:dyDescent="0.25">
      <c r="A390" s="5">
        <v>3</v>
      </c>
      <c r="B390" s="5">
        <v>3</v>
      </c>
      <c r="C390" s="53" t="s">
        <v>109</v>
      </c>
      <c r="D390" s="12" t="s">
        <v>347</v>
      </c>
      <c r="E390" s="75"/>
      <c r="F390" s="46"/>
    </row>
    <row r="391" spans="1:6" ht="30" x14ac:dyDescent="0.25">
      <c r="A391" s="3">
        <v>3</v>
      </c>
      <c r="B391" s="3">
        <v>3</v>
      </c>
      <c r="C391" s="34" t="s">
        <v>122</v>
      </c>
      <c r="D391" s="2" t="s">
        <v>348</v>
      </c>
      <c r="E391" s="35">
        <f>E392</f>
        <v>0</v>
      </c>
      <c r="F391" s="3" t="s">
        <v>1</v>
      </c>
    </row>
    <row r="392" spans="1:6" x14ac:dyDescent="0.25">
      <c r="A392" s="5"/>
      <c r="B392" s="5"/>
      <c r="C392" s="53"/>
      <c r="D392" s="222" t="s">
        <v>349</v>
      </c>
      <c r="E392" s="50">
        <v>0</v>
      </c>
      <c r="F392" s="42" t="s">
        <v>1</v>
      </c>
    </row>
    <row r="393" spans="1:6" x14ac:dyDescent="0.25">
      <c r="A393" s="3">
        <v>3</v>
      </c>
      <c r="B393" s="3">
        <v>3</v>
      </c>
      <c r="C393" s="34" t="s">
        <v>125</v>
      </c>
      <c r="D393" s="2" t="s">
        <v>350</v>
      </c>
      <c r="E393" s="35">
        <f>SUM(E394:E394)</f>
        <v>0</v>
      </c>
      <c r="F393" s="3" t="s">
        <v>1</v>
      </c>
    </row>
    <row r="394" spans="1:6" x14ac:dyDescent="0.25">
      <c r="A394" s="3"/>
      <c r="B394" s="3"/>
      <c r="C394" s="34"/>
      <c r="D394" s="207" t="s">
        <v>351</v>
      </c>
      <c r="E394" s="37">
        <v>0</v>
      </c>
      <c r="F394" s="36" t="s">
        <v>1</v>
      </c>
    </row>
    <row r="395" spans="1:6" x14ac:dyDescent="0.25">
      <c r="A395" s="125">
        <v>3</v>
      </c>
      <c r="B395" s="125">
        <v>4</v>
      </c>
      <c r="C395" s="125"/>
      <c r="D395" s="16" t="s">
        <v>63</v>
      </c>
      <c r="E395" s="126">
        <f>E396+E397+E400</f>
        <v>10000000</v>
      </c>
      <c r="F395" s="125"/>
    </row>
    <row r="396" spans="1:6" ht="16.5" hidden="1" customHeight="1" x14ac:dyDescent="0.25">
      <c r="A396" s="5">
        <v>3</v>
      </c>
      <c r="B396" s="5">
        <v>4</v>
      </c>
      <c r="C396" s="53" t="s">
        <v>85</v>
      </c>
      <c r="D396" s="12" t="s">
        <v>352</v>
      </c>
      <c r="E396" s="54"/>
      <c r="F396" s="46"/>
    </row>
    <row r="397" spans="1:6" ht="20.25" customHeight="1" x14ac:dyDescent="0.25">
      <c r="A397" s="5">
        <v>3</v>
      </c>
      <c r="B397" s="5">
        <v>4</v>
      </c>
      <c r="C397" s="47" t="s">
        <v>89</v>
      </c>
      <c r="D397" s="12" t="s">
        <v>64</v>
      </c>
      <c r="E397" s="54">
        <f>SUM(E398:E399)</f>
        <v>5000000</v>
      </c>
      <c r="F397" s="5" t="s">
        <v>2</v>
      </c>
    </row>
    <row r="398" spans="1:6" ht="14.25" hidden="1" customHeight="1" x14ac:dyDescent="0.25">
      <c r="A398" s="5"/>
      <c r="B398" s="5"/>
      <c r="C398" s="47"/>
      <c r="D398" s="71" t="s">
        <v>353</v>
      </c>
      <c r="E398" s="50">
        <v>0</v>
      </c>
      <c r="F398" s="42" t="s">
        <v>0</v>
      </c>
    </row>
    <row r="399" spans="1:6" ht="11.25" customHeight="1" x14ac:dyDescent="0.25">
      <c r="A399" s="5"/>
      <c r="B399" s="5"/>
      <c r="C399" s="47"/>
      <c r="D399" s="71" t="s">
        <v>353</v>
      </c>
      <c r="E399" s="50">
        <v>5000000</v>
      </c>
      <c r="F399" s="42" t="s">
        <v>2</v>
      </c>
    </row>
    <row r="400" spans="1:6" x14ac:dyDescent="0.25">
      <c r="A400" s="5">
        <v>3</v>
      </c>
      <c r="B400" s="5">
        <v>4</v>
      </c>
      <c r="C400" s="53" t="s">
        <v>98</v>
      </c>
      <c r="D400" s="127" t="s">
        <v>65</v>
      </c>
      <c r="E400" s="54">
        <f>SUM(E401:E402)</f>
        <v>5000000</v>
      </c>
      <c r="F400" s="5"/>
    </row>
    <row r="401" spans="1:7" x14ac:dyDescent="0.25">
      <c r="A401" s="5"/>
      <c r="B401" s="5"/>
      <c r="C401" s="47"/>
      <c r="D401" s="71" t="s">
        <v>354</v>
      </c>
      <c r="E401" s="50">
        <v>5000000</v>
      </c>
      <c r="F401" s="42" t="s">
        <v>1</v>
      </c>
    </row>
    <row r="402" spans="1:7" hidden="1" x14ac:dyDescent="0.25">
      <c r="A402" s="5"/>
      <c r="B402" s="5"/>
      <c r="C402" s="47"/>
      <c r="D402" s="71"/>
      <c r="E402" s="50">
        <v>0</v>
      </c>
      <c r="F402" s="42" t="s">
        <v>6</v>
      </c>
    </row>
    <row r="403" spans="1:7" x14ac:dyDescent="0.25">
      <c r="A403" s="128">
        <v>4</v>
      </c>
      <c r="B403" s="129"/>
      <c r="C403" s="129"/>
      <c r="D403" s="14" t="s">
        <v>66</v>
      </c>
      <c r="E403" s="130">
        <f>E404+E409+E422+E427+E435+E442+E446</f>
        <v>81000000</v>
      </c>
      <c r="F403" s="129"/>
    </row>
    <row r="404" spans="1:7" hidden="1" x14ac:dyDescent="0.25">
      <c r="A404" s="125">
        <v>4</v>
      </c>
      <c r="B404" s="125">
        <v>1</v>
      </c>
      <c r="C404" s="125"/>
      <c r="D404" s="16" t="s">
        <v>355</v>
      </c>
      <c r="E404" s="126">
        <f>E405+E407</f>
        <v>0</v>
      </c>
      <c r="F404" s="125" t="s">
        <v>3</v>
      </c>
    </row>
    <row r="405" spans="1:7" hidden="1" x14ac:dyDescent="0.25">
      <c r="A405" s="5">
        <v>4</v>
      </c>
      <c r="B405" s="5">
        <v>1</v>
      </c>
      <c r="C405" s="53" t="s">
        <v>122</v>
      </c>
      <c r="D405" s="12" t="s">
        <v>356</v>
      </c>
      <c r="E405" s="75">
        <v>0</v>
      </c>
      <c r="F405" s="46"/>
    </row>
    <row r="406" spans="1:7" hidden="1" x14ac:dyDescent="0.25">
      <c r="A406" s="5"/>
      <c r="B406" s="5"/>
      <c r="C406" s="53"/>
      <c r="D406" s="12"/>
      <c r="E406" s="75"/>
      <c r="F406" s="46"/>
    </row>
    <row r="407" spans="1:7" ht="30" hidden="1" x14ac:dyDescent="0.25">
      <c r="A407" s="3">
        <v>4</v>
      </c>
      <c r="B407" s="3">
        <v>1</v>
      </c>
      <c r="C407" s="34" t="s">
        <v>125</v>
      </c>
      <c r="D407" s="2" t="s">
        <v>357</v>
      </c>
      <c r="E407" s="109">
        <f>SUM(E408:E408)</f>
        <v>0</v>
      </c>
      <c r="F407" s="97"/>
    </row>
    <row r="408" spans="1:7" hidden="1" x14ac:dyDescent="0.25">
      <c r="A408" s="5"/>
      <c r="B408" s="5"/>
      <c r="C408" s="53"/>
      <c r="D408" s="12"/>
      <c r="E408" s="75"/>
      <c r="F408" s="46"/>
    </row>
    <row r="409" spans="1:7" x14ac:dyDescent="0.25">
      <c r="A409" s="125">
        <v>4</v>
      </c>
      <c r="B409" s="125">
        <v>2</v>
      </c>
      <c r="C409" s="131"/>
      <c r="D409" s="16" t="s">
        <v>67</v>
      </c>
      <c r="E409" s="126">
        <f>E410+E412+E416+E418</f>
        <v>70000000</v>
      </c>
      <c r="F409" s="125" t="s">
        <v>3</v>
      </c>
    </row>
    <row r="410" spans="1:7" ht="30" x14ac:dyDescent="0.25">
      <c r="A410" s="3">
        <v>4</v>
      </c>
      <c r="B410" s="97">
        <v>2</v>
      </c>
      <c r="C410" s="132" t="s">
        <v>85</v>
      </c>
      <c r="D410" s="107" t="s">
        <v>358</v>
      </c>
      <c r="E410" s="35">
        <f>E411</f>
        <v>20000000</v>
      </c>
      <c r="F410" s="46"/>
    </row>
    <row r="411" spans="1:7" x14ac:dyDescent="0.25">
      <c r="A411" s="5"/>
      <c r="B411" s="46"/>
      <c r="C411" s="47"/>
      <c r="D411" s="71" t="s">
        <v>359</v>
      </c>
      <c r="E411" s="37">
        <v>20000000</v>
      </c>
      <c r="F411" s="36" t="s">
        <v>3</v>
      </c>
      <c r="G411" s="173">
        <f>E411/50000</f>
        <v>400</v>
      </c>
    </row>
    <row r="412" spans="1:7" ht="30" x14ac:dyDescent="0.25">
      <c r="A412" s="3">
        <v>4</v>
      </c>
      <c r="B412" s="3">
        <v>2</v>
      </c>
      <c r="C412" s="34" t="s">
        <v>89</v>
      </c>
      <c r="D412" s="2" t="s">
        <v>68</v>
      </c>
      <c r="E412" s="35">
        <f>SUM(E413:E415)</f>
        <v>50000000</v>
      </c>
      <c r="F412" s="76" t="s">
        <v>3</v>
      </c>
    </row>
    <row r="413" spans="1:7" x14ac:dyDescent="0.25">
      <c r="A413" s="3"/>
      <c r="B413" s="97"/>
      <c r="C413" s="132"/>
      <c r="D413" s="43" t="s">
        <v>421</v>
      </c>
      <c r="E413" s="50">
        <v>50000000</v>
      </c>
      <c r="F413" s="42"/>
    </row>
    <row r="414" spans="1:7" hidden="1" x14ac:dyDescent="0.25">
      <c r="A414" s="133"/>
      <c r="B414" s="134"/>
      <c r="C414" s="135"/>
      <c r="D414" s="136" t="s">
        <v>360</v>
      </c>
      <c r="E414" s="137">
        <v>0</v>
      </c>
      <c r="F414" s="138"/>
    </row>
    <row r="415" spans="1:7" hidden="1" x14ac:dyDescent="0.25">
      <c r="A415" s="5"/>
      <c r="B415" s="46"/>
      <c r="C415" s="47"/>
      <c r="D415" s="71" t="s">
        <v>361</v>
      </c>
      <c r="E415" s="50">
        <v>0</v>
      </c>
      <c r="F415" s="42"/>
    </row>
    <row r="416" spans="1:7" hidden="1" x14ac:dyDescent="0.25">
      <c r="A416" s="3">
        <v>4</v>
      </c>
      <c r="B416" s="97">
        <v>2</v>
      </c>
      <c r="C416" s="132" t="s">
        <v>98</v>
      </c>
      <c r="D416" s="107" t="s">
        <v>362</v>
      </c>
      <c r="E416" s="35">
        <f>E417</f>
        <v>0</v>
      </c>
      <c r="F416" s="3" t="s">
        <v>3</v>
      </c>
    </row>
    <row r="417" spans="1:6" hidden="1" x14ac:dyDescent="0.25">
      <c r="A417" s="5"/>
      <c r="B417" s="46"/>
      <c r="C417" s="47"/>
      <c r="D417" s="71" t="s">
        <v>363</v>
      </c>
      <c r="E417" s="50">
        <v>0</v>
      </c>
      <c r="F417" s="42" t="s">
        <v>3</v>
      </c>
    </row>
    <row r="418" spans="1:6" ht="30" hidden="1" x14ac:dyDescent="0.25">
      <c r="A418" s="3">
        <v>4</v>
      </c>
      <c r="B418" s="97">
        <v>2</v>
      </c>
      <c r="C418" s="132" t="s">
        <v>122</v>
      </c>
      <c r="D418" s="107" t="s">
        <v>364</v>
      </c>
      <c r="E418" s="35">
        <f>SUM(E419:E421)</f>
        <v>0</v>
      </c>
      <c r="F418" s="76" t="s">
        <v>3</v>
      </c>
    </row>
    <row r="419" spans="1:6" hidden="1" x14ac:dyDescent="0.25">
      <c r="A419" s="5"/>
      <c r="B419" s="46"/>
      <c r="C419" s="47"/>
      <c r="D419" s="71" t="s">
        <v>365</v>
      </c>
      <c r="E419" s="50">
        <v>0</v>
      </c>
      <c r="F419" s="42"/>
    </row>
    <row r="420" spans="1:6" hidden="1" x14ac:dyDescent="0.25">
      <c r="A420" s="5"/>
      <c r="B420" s="46"/>
      <c r="C420" s="47"/>
      <c r="D420" s="71"/>
      <c r="E420" s="50"/>
      <c r="F420" s="42"/>
    </row>
    <row r="421" spans="1:6" hidden="1" x14ac:dyDescent="0.25">
      <c r="A421" s="5"/>
      <c r="B421" s="46"/>
      <c r="C421" s="47"/>
      <c r="D421" s="71"/>
      <c r="E421" s="50"/>
      <c r="F421" s="42"/>
    </row>
    <row r="422" spans="1:6" x14ac:dyDescent="0.25">
      <c r="A422" s="125">
        <v>4</v>
      </c>
      <c r="B422" s="125">
        <v>3</v>
      </c>
      <c r="C422" s="125"/>
      <c r="D422" s="16" t="s">
        <v>69</v>
      </c>
      <c r="E422" s="126">
        <f>SUM(E423:E426)</f>
        <v>6000000</v>
      </c>
      <c r="F422" s="125" t="s">
        <v>0</v>
      </c>
    </row>
    <row r="423" spans="1:6" x14ac:dyDescent="0.25">
      <c r="A423" s="5">
        <v>4</v>
      </c>
      <c r="B423" s="5">
        <v>3</v>
      </c>
      <c r="C423" s="47" t="s">
        <v>85</v>
      </c>
      <c r="D423" s="17" t="s">
        <v>70</v>
      </c>
      <c r="E423" s="91">
        <v>2000000</v>
      </c>
      <c r="F423" s="46" t="s">
        <v>0</v>
      </c>
    </row>
    <row r="424" spans="1:6" x14ac:dyDescent="0.25">
      <c r="A424" s="5">
        <v>4</v>
      </c>
      <c r="B424" s="5">
        <v>3</v>
      </c>
      <c r="C424" s="47" t="s">
        <v>89</v>
      </c>
      <c r="D424" s="17" t="s">
        <v>71</v>
      </c>
      <c r="E424" s="91">
        <v>1000000</v>
      </c>
      <c r="F424" s="46" t="s">
        <v>0</v>
      </c>
    </row>
    <row r="425" spans="1:6" x14ac:dyDescent="0.25">
      <c r="A425" s="5"/>
      <c r="B425" s="5"/>
      <c r="C425" s="47"/>
      <c r="D425" s="17" t="s">
        <v>71</v>
      </c>
      <c r="E425" s="91">
        <v>1500000</v>
      </c>
      <c r="F425" s="46" t="s">
        <v>1</v>
      </c>
    </row>
    <row r="426" spans="1:6" x14ac:dyDescent="0.25">
      <c r="A426" s="5">
        <v>4</v>
      </c>
      <c r="B426" s="5">
        <v>3</v>
      </c>
      <c r="C426" s="47" t="s">
        <v>98</v>
      </c>
      <c r="D426" s="17" t="s">
        <v>72</v>
      </c>
      <c r="E426" s="91">
        <v>1500000</v>
      </c>
      <c r="F426" s="46" t="s">
        <v>1</v>
      </c>
    </row>
    <row r="427" spans="1:6" ht="30" x14ac:dyDescent="0.25">
      <c r="A427" s="121">
        <v>4</v>
      </c>
      <c r="B427" s="121">
        <v>4</v>
      </c>
      <c r="C427" s="139"/>
      <c r="D427" s="140" t="s">
        <v>73</v>
      </c>
      <c r="E427" s="122">
        <f>E428+E431+E433</f>
        <v>5000000</v>
      </c>
      <c r="F427" s="121" t="s">
        <v>3</v>
      </c>
    </row>
    <row r="428" spans="1:6" x14ac:dyDescent="0.25">
      <c r="A428" s="5">
        <v>4</v>
      </c>
      <c r="B428" s="5">
        <v>4</v>
      </c>
      <c r="C428" s="47" t="s">
        <v>85</v>
      </c>
      <c r="D428" s="12" t="s">
        <v>74</v>
      </c>
      <c r="E428" s="54">
        <f>SUM(E429:E430)</f>
        <v>5000000</v>
      </c>
      <c r="F428" s="46" t="s">
        <v>3</v>
      </c>
    </row>
    <row r="429" spans="1:6" ht="14.25" customHeight="1" x14ac:dyDescent="0.25">
      <c r="A429" s="5"/>
      <c r="B429" s="5"/>
      <c r="C429" s="47"/>
      <c r="D429" s="71" t="s">
        <v>366</v>
      </c>
      <c r="E429" s="50">
        <v>5000000</v>
      </c>
      <c r="F429" s="42" t="s">
        <v>3</v>
      </c>
    </row>
    <row r="430" spans="1:6" hidden="1" x14ac:dyDescent="0.25">
      <c r="A430" s="5"/>
      <c r="B430" s="5"/>
      <c r="C430" s="47"/>
      <c r="D430" s="71"/>
      <c r="E430" s="50"/>
      <c r="F430" s="42"/>
    </row>
    <row r="431" spans="1:6" hidden="1" x14ac:dyDescent="0.25">
      <c r="A431" s="5">
        <v>4</v>
      </c>
      <c r="B431" s="5">
        <v>4</v>
      </c>
      <c r="C431" s="47" t="s">
        <v>89</v>
      </c>
      <c r="D431" s="12" t="s">
        <v>367</v>
      </c>
      <c r="E431" s="54">
        <f>E432</f>
        <v>0</v>
      </c>
      <c r="F431" s="46" t="s">
        <v>3</v>
      </c>
    </row>
    <row r="432" spans="1:6" hidden="1" x14ac:dyDescent="0.25">
      <c r="A432" s="5"/>
      <c r="B432" s="5"/>
      <c r="C432" s="47"/>
      <c r="D432" s="71"/>
      <c r="E432" s="50"/>
      <c r="F432" s="42"/>
    </row>
    <row r="433" spans="1:6" hidden="1" x14ac:dyDescent="0.25">
      <c r="A433" s="5">
        <v>4</v>
      </c>
      <c r="B433" s="5">
        <v>4</v>
      </c>
      <c r="C433" s="47" t="s">
        <v>98</v>
      </c>
      <c r="D433" s="12" t="s">
        <v>368</v>
      </c>
      <c r="E433" s="54">
        <f>SUM(E434)</f>
        <v>0</v>
      </c>
      <c r="F433" s="46" t="s">
        <v>3</v>
      </c>
    </row>
    <row r="434" spans="1:6" hidden="1" x14ac:dyDescent="0.25">
      <c r="A434" s="5"/>
      <c r="B434" s="5"/>
      <c r="C434" s="47"/>
      <c r="D434" s="12"/>
      <c r="E434" s="54"/>
      <c r="F434" s="46"/>
    </row>
    <row r="435" spans="1:6" hidden="1" x14ac:dyDescent="0.25">
      <c r="A435" s="125">
        <v>4</v>
      </c>
      <c r="B435" s="125">
        <v>5</v>
      </c>
      <c r="C435" s="125"/>
      <c r="D435" s="16" t="s">
        <v>369</v>
      </c>
      <c r="E435" s="126">
        <f>E436+E438+E440</f>
        <v>0</v>
      </c>
      <c r="F435" s="125" t="s">
        <v>3</v>
      </c>
    </row>
    <row r="436" spans="1:6" hidden="1" x14ac:dyDescent="0.25">
      <c r="A436" s="3">
        <v>4</v>
      </c>
      <c r="B436" s="3">
        <v>5</v>
      </c>
      <c r="C436" s="132" t="s">
        <v>85</v>
      </c>
      <c r="D436" s="2" t="s">
        <v>370</v>
      </c>
      <c r="E436" s="35">
        <f>E437</f>
        <v>0</v>
      </c>
      <c r="F436" s="97"/>
    </row>
    <row r="437" spans="1:6" hidden="1" x14ac:dyDescent="0.25">
      <c r="A437" s="5"/>
      <c r="B437" s="5"/>
      <c r="C437" s="47"/>
      <c r="D437" s="12"/>
      <c r="E437" s="54"/>
      <c r="F437" s="46"/>
    </row>
    <row r="438" spans="1:6" hidden="1" x14ac:dyDescent="0.25">
      <c r="A438" s="3">
        <v>4</v>
      </c>
      <c r="B438" s="3">
        <v>5</v>
      </c>
      <c r="C438" s="132" t="s">
        <v>89</v>
      </c>
      <c r="D438" s="2" t="s">
        <v>371</v>
      </c>
      <c r="E438" s="35">
        <f>E439</f>
        <v>0</v>
      </c>
      <c r="F438" s="97"/>
    </row>
    <row r="439" spans="1:6" hidden="1" x14ac:dyDescent="0.25">
      <c r="A439" s="3"/>
      <c r="B439" s="3"/>
      <c r="C439" s="132"/>
      <c r="D439" s="2"/>
      <c r="E439" s="35"/>
      <c r="F439" s="97"/>
    </row>
    <row r="440" spans="1:6" ht="30" hidden="1" x14ac:dyDescent="0.25">
      <c r="A440" s="3">
        <v>4</v>
      </c>
      <c r="B440" s="3">
        <v>5</v>
      </c>
      <c r="C440" s="132" t="s">
        <v>98</v>
      </c>
      <c r="D440" s="2" t="s">
        <v>372</v>
      </c>
      <c r="E440" s="35">
        <f>E441</f>
        <v>0</v>
      </c>
      <c r="F440" s="97"/>
    </row>
    <row r="441" spans="1:6" hidden="1" x14ac:dyDescent="0.25">
      <c r="A441" s="3"/>
      <c r="B441" s="3"/>
      <c r="C441" s="132"/>
      <c r="D441" s="2"/>
      <c r="E441" s="35"/>
      <c r="F441" s="97"/>
    </row>
    <row r="442" spans="1:6" hidden="1" x14ac:dyDescent="0.25">
      <c r="A442" s="125">
        <v>4</v>
      </c>
      <c r="B442" s="125">
        <v>6</v>
      </c>
      <c r="C442" s="125"/>
      <c r="D442" s="16" t="s">
        <v>373</v>
      </c>
      <c r="E442" s="126">
        <f>E443</f>
        <v>0</v>
      </c>
      <c r="F442" s="125" t="s">
        <v>3</v>
      </c>
    </row>
    <row r="443" spans="1:6" hidden="1" x14ac:dyDescent="0.25">
      <c r="A443" s="3">
        <v>4</v>
      </c>
      <c r="B443" s="3">
        <v>6</v>
      </c>
      <c r="C443" s="132" t="s">
        <v>89</v>
      </c>
      <c r="D443" s="2" t="s">
        <v>374</v>
      </c>
      <c r="E443" s="109">
        <f>SUM(E444:E445)</f>
        <v>0</v>
      </c>
      <c r="F443" s="97"/>
    </row>
    <row r="444" spans="1:6" hidden="1" x14ac:dyDescent="0.25">
      <c r="A444" s="5"/>
      <c r="B444" s="5"/>
      <c r="C444" s="46"/>
      <c r="D444" s="12"/>
      <c r="E444" s="75"/>
      <c r="F444" s="46"/>
    </row>
    <row r="445" spans="1:6" hidden="1" x14ac:dyDescent="0.25">
      <c r="A445" s="5"/>
      <c r="B445" s="5"/>
      <c r="C445" s="47"/>
      <c r="D445" s="71"/>
      <c r="E445" s="50"/>
      <c r="F445" s="42"/>
    </row>
    <row r="446" spans="1:6" hidden="1" x14ac:dyDescent="0.25">
      <c r="A446" s="125">
        <v>4</v>
      </c>
      <c r="B446" s="125">
        <v>7</v>
      </c>
      <c r="C446" s="125"/>
      <c r="D446" s="16" t="s">
        <v>375</v>
      </c>
      <c r="E446" s="126">
        <f>E447+E450</f>
        <v>0</v>
      </c>
      <c r="F446" s="125"/>
    </row>
    <row r="447" spans="1:6" ht="30" hidden="1" x14ac:dyDescent="0.25">
      <c r="A447" s="3">
        <v>4</v>
      </c>
      <c r="B447" s="3">
        <v>7</v>
      </c>
      <c r="C447" s="34" t="s">
        <v>89</v>
      </c>
      <c r="D447" s="2" t="s">
        <v>376</v>
      </c>
      <c r="E447" s="35">
        <f>SUM(E448:E449)</f>
        <v>0</v>
      </c>
      <c r="F447" s="3" t="s">
        <v>3</v>
      </c>
    </row>
    <row r="448" spans="1:6" hidden="1" x14ac:dyDescent="0.25">
      <c r="A448" s="46"/>
      <c r="B448" s="46"/>
      <c r="C448" s="46"/>
      <c r="D448" s="71" t="s">
        <v>565</v>
      </c>
      <c r="E448" s="51">
        <v>0</v>
      </c>
      <c r="F448" s="42" t="s">
        <v>3</v>
      </c>
    </row>
    <row r="449" spans="1:9" hidden="1" x14ac:dyDescent="0.25">
      <c r="A449" s="46"/>
      <c r="B449" s="46"/>
      <c r="C449" s="46"/>
      <c r="D449" s="71"/>
      <c r="E449" s="50"/>
      <c r="F449" s="42"/>
    </row>
    <row r="450" spans="1:9" ht="30" hidden="1" x14ac:dyDescent="0.25">
      <c r="A450" s="3">
        <v>4</v>
      </c>
      <c r="B450" s="3">
        <v>7</v>
      </c>
      <c r="C450" s="34" t="s">
        <v>109</v>
      </c>
      <c r="D450" s="2" t="s">
        <v>378</v>
      </c>
      <c r="E450" s="35">
        <f>SUM(E451:E452)</f>
        <v>0</v>
      </c>
      <c r="F450" s="3" t="s">
        <v>3</v>
      </c>
    </row>
    <row r="451" spans="1:9" hidden="1" x14ac:dyDescent="0.25">
      <c r="A451" s="46"/>
      <c r="B451" s="46"/>
      <c r="C451" s="46"/>
      <c r="D451" s="71" t="s">
        <v>379</v>
      </c>
      <c r="E451" s="50">
        <v>0</v>
      </c>
      <c r="F451" s="42"/>
    </row>
    <row r="452" spans="1:9" hidden="1" x14ac:dyDescent="0.25">
      <c r="A452" s="46"/>
      <c r="B452" s="46"/>
      <c r="C452" s="46"/>
      <c r="D452" s="71"/>
      <c r="E452" s="50"/>
      <c r="F452" s="42"/>
    </row>
    <row r="453" spans="1:9" ht="27" x14ac:dyDescent="0.25">
      <c r="A453" s="141">
        <v>5</v>
      </c>
      <c r="B453" s="141"/>
      <c r="C453" s="141"/>
      <c r="D453" s="18" t="s">
        <v>75</v>
      </c>
      <c r="E453" s="142">
        <f>E454+E456+E458</f>
        <v>62600000</v>
      </c>
      <c r="F453" s="141"/>
    </row>
    <row r="454" spans="1:9" x14ac:dyDescent="0.25">
      <c r="A454" s="19">
        <v>5</v>
      </c>
      <c r="B454" s="19">
        <v>1</v>
      </c>
      <c r="C454" s="19"/>
      <c r="D454" s="19" t="s">
        <v>76</v>
      </c>
      <c r="E454" s="143">
        <f>E455</f>
        <v>2500000</v>
      </c>
      <c r="F454" s="19"/>
    </row>
    <row r="455" spans="1:9" x14ac:dyDescent="0.25">
      <c r="A455" s="46">
        <v>5</v>
      </c>
      <c r="B455" s="46">
        <v>1</v>
      </c>
      <c r="C455" s="47" t="s">
        <v>380</v>
      </c>
      <c r="D455" s="46" t="s">
        <v>381</v>
      </c>
      <c r="E455" s="75">
        <v>2500000</v>
      </c>
      <c r="F455" s="46" t="s">
        <v>3</v>
      </c>
    </row>
    <row r="456" spans="1:9" x14ac:dyDescent="0.25">
      <c r="A456" s="19">
        <v>5</v>
      </c>
      <c r="B456" s="19">
        <v>2</v>
      </c>
      <c r="C456" s="19"/>
      <c r="D456" s="19" t="s">
        <v>77</v>
      </c>
      <c r="E456" s="143">
        <f>E457</f>
        <v>2500000</v>
      </c>
      <c r="F456" s="19"/>
    </row>
    <row r="457" spans="1:9" x14ac:dyDescent="0.25">
      <c r="A457" s="46">
        <v>5</v>
      </c>
      <c r="B457" s="46">
        <v>2</v>
      </c>
      <c r="C457" s="47" t="s">
        <v>380</v>
      </c>
      <c r="D457" s="46" t="s">
        <v>382</v>
      </c>
      <c r="E457" s="75">
        <v>2500000</v>
      </c>
      <c r="F457" s="46" t="s">
        <v>3</v>
      </c>
    </row>
    <row r="458" spans="1:9" x14ac:dyDescent="0.25">
      <c r="A458" s="19">
        <v>5</v>
      </c>
      <c r="B458" s="19">
        <v>3</v>
      </c>
      <c r="C458" s="19"/>
      <c r="D458" s="19" t="s">
        <v>78</v>
      </c>
      <c r="E458" s="143">
        <f>E459</f>
        <v>57600000</v>
      </c>
      <c r="F458" s="19"/>
      <c r="H458">
        <f>3600000*16</f>
        <v>57600000</v>
      </c>
      <c r="I458" s="173"/>
    </row>
    <row r="459" spans="1:9" x14ac:dyDescent="0.25">
      <c r="A459" s="46">
        <v>5</v>
      </c>
      <c r="B459" s="46">
        <v>3</v>
      </c>
      <c r="C459" s="47" t="s">
        <v>380</v>
      </c>
      <c r="D459" s="46" t="s">
        <v>383</v>
      </c>
      <c r="E459" s="75">
        <f>SUM(E460:E460)</f>
        <v>57600000</v>
      </c>
      <c r="F459" s="46" t="s">
        <v>3</v>
      </c>
      <c r="H459" s="173">
        <f>E460/M5*100</f>
        <v>4.3418710901488522</v>
      </c>
      <c r="I459" t="s">
        <v>397</v>
      </c>
    </row>
    <row r="460" spans="1:9" x14ac:dyDescent="0.25">
      <c r="A460" s="46"/>
      <c r="B460" s="46"/>
      <c r="C460" s="47"/>
      <c r="D460" s="55" t="s">
        <v>384</v>
      </c>
      <c r="E460" s="50">
        <v>57600000</v>
      </c>
      <c r="F460" s="42"/>
      <c r="H460" s="189">
        <f>E460/3600000</f>
        <v>16</v>
      </c>
      <c r="I460" t="s">
        <v>420</v>
      </c>
    </row>
    <row r="461" spans="1:9" x14ac:dyDescent="0.25">
      <c r="A461" s="144"/>
      <c r="B461" s="144"/>
      <c r="C461" s="144"/>
      <c r="D461" s="144" t="s">
        <v>385</v>
      </c>
      <c r="E461" s="145">
        <f>E462</f>
        <v>0</v>
      </c>
      <c r="F461" s="144"/>
    </row>
    <row r="462" spans="1:9" x14ac:dyDescent="0.25">
      <c r="A462" s="46"/>
      <c r="B462" s="46"/>
      <c r="C462" s="46"/>
      <c r="D462" s="46" t="s">
        <v>386</v>
      </c>
      <c r="E462" s="146">
        <v>0</v>
      </c>
      <c r="F462" s="46" t="s">
        <v>3</v>
      </c>
    </row>
    <row r="465" spans="4:5" x14ac:dyDescent="0.25">
      <c r="D465" s="192" t="s">
        <v>392</v>
      </c>
      <c r="E465" s="191">
        <f>E4+E153+E347+E403+E453</f>
        <v>2357635400</v>
      </c>
    </row>
    <row r="466" spans="4:5" x14ac:dyDescent="0.25">
      <c r="D466" s="192" t="s">
        <v>422</v>
      </c>
      <c r="E466" s="191">
        <f>E465+E461</f>
        <v>2357635400</v>
      </c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7322834645669292" header="0.31496062992125984" footer="0.31496062992125984"/>
  <pageSetup paperSize="5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66"/>
  <sheetViews>
    <sheetView topLeftCell="G1" workbookViewId="0">
      <selection activeCell="M5" sqref="M5"/>
    </sheetView>
  </sheetViews>
  <sheetFormatPr defaultRowHeight="15" x14ac:dyDescent="0.25"/>
  <cols>
    <col min="1" max="1" width="3.5703125" customWidth="1"/>
    <col min="2" max="3" width="4.5703125" customWidth="1"/>
    <col min="4" max="4" width="58.7109375" customWidth="1"/>
    <col min="5" max="5" width="16.5703125" customWidth="1"/>
    <col min="6" max="6" width="14.85546875" customWidth="1"/>
    <col min="7" max="7" width="13.28515625" bestFit="1" customWidth="1"/>
    <col min="8" max="8" width="16.28515625" bestFit="1" customWidth="1"/>
    <col min="9" max="9" width="17.140625" customWidth="1"/>
    <col min="10" max="10" width="14.140625" customWidth="1"/>
    <col min="11" max="11" width="16.140625" customWidth="1"/>
    <col min="12" max="12" width="15.85546875" customWidth="1"/>
    <col min="13" max="13" width="15.140625" customWidth="1"/>
    <col min="14" max="14" width="13.140625" customWidth="1"/>
    <col min="15" max="15" width="14" customWidth="1"/>
    <col min="16" max="16" width="12.42578125" customWidth="1"/>
    <col min="17" max="17" width="15.42578125" bestFit="1" customWidth="1"/>
  </cols>
  <sheetData>
    <row r="1" spans="1:19" x14ac:dyDescent="0.25">
      <c r="A1" s="377" t="s">
        <v>533</v>
      </c>
      <c r="B1" s="377"/>
      <c r="C1" s="377"/>
      <c r="D1" s="377"/>
      <c r="E1" s="377"/>
      <c r="F1" s="377"/>
    </row>
    <row r="2" spans="1:19" x14ac:dyDescent="0.25">
      <c r="A2" s="378"/>
      <c r="B2" s="378"/>
      <c r="C2" s="378"/>
      <c r="D2" s="378"/>
      <c r="E2" s="378"/>
      <c r="F2" s="378"/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30" t="s">
        <v>80</v>
      </c>
    </row>
    <row r="4" spans="1:19" x14ac:dyDescent="0.25">
      <c r="A4" s="7">
        <v>1</v>
      </c>
      <c r="B4" s="7"/>
      <c r="C4" s="7"/>
      <c r="D4" s="7" t="s">
        <v>21</v>
      </c>
      <c r="E4" s="31">
        <f>E5+E74+E91+E111+E141</f>
        <v>1091995400</v>
      </c>
      <c r="F4" s="32"/>
      <c r="H4" s="147" t="s">
        <v>387</v>
      </c>
      <c r="I4" s="148" t="s">
        <v>0</v>
      </c>
      <c r="J4" s="148" t="s">
        <v>1</v>
      </c>
      <c r="K4" s="148" t="s">
        <v>2</v>
      </c>
      <c r="L4" s="149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2385017000</v>
      </c>
      <c r="S4" s="150" t="s">
        <v>390</v>
      </c>
    </row>
    <row r="5" spans="1:19" ht="32.25" customHeight="1" x14ac:dyDescent="0.25">
      <c r="A5" s="8">
        <v>1</v>
      </c>
      <c r="B5" s="8">
        <v>1</v>
      </c>
      <c r="C5" s="8"/>
      <c r="D5" s="6" t="s">
        <v>20</v>
      </c>
      <c r="E5" s="33">
        <f>E6+E11+E19+E33+E50+E53+E58+E69+E71</f>
        <v>781795400</v>
      </c>
      <c r="F5" s="8"/>
      <c r="H5" s="147" t="s">
        <v>391</v>
      </c>
      <c r="I5" s="151">
        <f>PAGU!B34</f>
        <v>619000000</v>
      </c>
      <c r="J5" s="151">
        <f>PAGU!C34</f>
        <v>132000000</v>
      </c>
      <c r="K5" s="151">
        <f>PAGU!E34</f>
        <v>31000000</v>
      </c>
      <c r="L5" s="151">
        <v>41000000</v>
      </c>
      <c r="M5" s="151">
        <f>PAGU!G34</f>
        <v>1326617000</v>
      </c>
      <c r="N5" s="152">
        <v>5000000</v>
      </c>
      <c r="O5" s="152">
        <f>PAGU!I34</f>
        <v>56400000</v>
      </c>
      <c r="P5" s="153">
        <f>PAGU!H34</f>
        <v>220000000</v>
      </c>
      <c r="Q5" s="154">
        <f>SUM(I5:P5)</f>
        <v>2431017000</v>
      </c>
      <c r="S5">
        <v>92931398</v>
      </c>
    </row>
    <row r="6" spans="1:19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77111000</v>
      </c>
      <c r="F6" s="3" t="s">
        <v>0</v>
      </c>
      <c r="H6" s="147" t="s">
        <v>392</v>
      </c>
      <c r="I6" s="151">
        <f>E7+E8+E12+E13+E15+E16+E17+E19+E36+E38+E40+E48+E49+E51+E77+E84+E112+E126+E134+E423+E424</f>
        <v>629095400</v>
      </c>
      <c r="J6" s="151">
        <f>E43+E47+E54+E57+E76+E80+E82+E85+E92+E104+E116+E120+E121+E122+E131+E142+E145+E165+E353+E367+E370+E391+E393+E400+E425+E426</f>
        <v>135000000</v>
      </c>
      <c r="K6" s="151">
        <f>E45+E83+E101+E129+E371+E372++E384+E399</f>
        <v>34000000</v>
      </c>
      <c r="L6" s="151">
        <f>E9+E14+E18+E34+E37+E42+E44+E46+E52+E55+E56+E329</f>
        <v>46000000</v>
      </c>
      <c r="M6" s="151">
        <f>E58+E100+E155+E172+E182+E189+E195+E198+E202+E209+E212+E244+E246+E248+E261+E267+E271+E275+E287+E283+E295+E297+E299+E301+E303+E304+E309+E314+E317+E327+E328+E336+E344+E410+E412+E428+E455+E457+E459</f>
        <v>1407450000</v>
      </c>
      <c r="N6" s="151">
        <f>E41+E169</f>
        <v>7000000</v>
      </c>
      <c r="O6" s="151">
        <f>E69+E71</f>
        <v>56400000</v>
      </c>
      <c r="P6" s="155">
        <f>E88</f>
        <v>220000000</v>
      </c>
      <c r="Q6" s="156">
        <f>SUM(I6:P6)</f>
        <v>2534945400</v>
      </c>
      <c r="R6" s="79"/>
      <c r="S6" s="157">
        <f>S5+Q7</f>
        <v>-10997002</v>
      </c>
    </row>
    <row r="7" spans="1:19" x14ac:dyDescent="0.25">
      <c r="A7" s="3"/>
      <c r="B7" s="3"/>
      <c r="C7" s="34"/>
      <c r="D7" s="36" t="s">
        <v>534</v>
      </c>
      <c r="E7" s="37">
        <f>F7*12</f>
        <v>49911000</v>
      </c>
      <c r="F7" s="37">
        <v>4159250</v>
      </c>
      <c r="H7" s="147"/>
      <c r="I7" s="155"/>
      <c r="J7" s="155"/>
      <c r="K7" s="155"/>
      <c r="L7" s="151"/>
      <c r="M7" s="155"/>
      <c r="N7" s="155"/>
      <c r="O7" s="155"/>
      <c r="P7" s="155"/>
      <c r="Q7" s="158">
        <f>Q5-Q6</f>
        <v>-103928400</v>
      </c>
      <c r="R7" s="79"/>
      <c r="S7" s="79"/>
    </row>
    <row r="8" spans="1:19" x14ac:dyDescent="0.25">
      <c r="A8" s="3"/>
      <c r="B8" s="3"/>
      <c r="C8" s="34"/>
      <c r="D8" s="36" t="s">
        <v>505</v>
      </c>
      <c r="E8" s="37">
        <f>2150000*12</f>
        <v>25800000</v>
      </c>
      <c r="F8" s="37">
        <f>E8/12</f>
        <v>2150000</v>
      </c>
      <c r="H8" s="147" t="s">
        <v>393</v>
      </c>
      <c r="I8" s="152">
        <f>I5-I6</f>
        <v>-10095400</v>
      </c>
      <c r="J8" s="152">
        <f t="shared" ref="J8:P8" si="0">J5-J6</f>
        <v>-3000000</v>
      </c>
      <c r="K8" s="152">
        <f t="shared" si="0"/>
        <v>-3000000</v>
      </c>
      <c r="L8" s="152">
        <f t="shared" si="0"/>
        <v>-5000000</v>
      </c>
      <c r="M8" s="151">
        <f>M5-M6</f>
        <v>-80833000</v>
      </c>
      <c r="N8" s="151">
        <f t="shared" si="0"/>
        <v>-2000000</v>
      </c>
      <c r="O8" s="151">
        <f t="shared" si="0"/>
        <v>0</v>
      </c>
      <c r="P8" s="155">
        <f t="shared" si="0"/>
        <v>0</v>
      </c>
      <c r="Q8" s="156"/>
      <c r="R8" s="79"/>
      <c r="S8" s="79"/>
    </row>
    <row r="9" spans="1:19" x14ac:dyDescent="0.25">
      <c r="A9" s="3"/>
      <c r="B9" s="3"/>
      <c r="C9" s="34"/>
      <c r="D9" s="36" t="s">
        <v>88</v>
      </c>
      <c r="E9" s="37">
        <v>1400000</v>
      </c>
      <c r="F9" s="36" t="s">
        <v>6</v>
      </c>
      <c r="H9" s="79"/>
      <c r="I9" s="79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x14ac:dyDescent="0.25">
      <c r="A10" s="3"/>
      <c r="B10" s="3"/>
      <c r="C10" s="34"/>
      <c r="D10" s="38"/>
      <c r="E10" s="37"/>
      <c r="F10" s="3"/>
      <c r="H10" s="26" t="s">
        <v>395</v>
      </c>
      <c r="I10" s="25">
        <f>Q6-P6-O6</f>
        <v>2258545400</v>
      </c>
      <c r="J10" s="79">
        <v>630000000</v>
      </c>
      <c r="K10" s="159">
        <f>J5+K5</f>
        <v>163000000</v>
      </c>
      <c r="L10" s="159"/>
      <c r="M10" s="79">
        <f>M6*5%</f>
        <v>70372500</v>
      </c>
      <c r="N10" s="157"/>
      <c r="O10" s="157"/>
      <c r="P10" s="79"/>
      <c r="Q10" s="157"/>
      <c r="R10" s="79"/>
      <c r="S10" s="79"/>
    </row>
    <row r="11" spans="1:19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409537200</v>
      </c>
      <c r="F11" s="2" t="s">
        <v>90</v>
      </c>
      <c r="H11" s="160">
        <v>0.3</v>
      </c>
      <c r="I11" s="161">
        <f>I10*30%</f>
        <v>677563620</v>
      </c>
      <c r="K11" s="162">
        <f>J6+K6</f>
        <v>169000000</v>
      </c>
      <c r="L11" s="163"/>
      <c r="M11" s="164">
        <f>M5+M10</f>
        <v>1396989500</v>
      </c>
      <c r="Q11" s="165">
        <v>601441000</v>
      </c>
      <c r="R11" s="79"/>
      <c r="S11" s="79"/>
    </row>
    <row r="12" spans="1:19" x14ac:dyDescent="0.25">
      <c r="A12" s="3"/>
      <c r="B12" s="3"/>
      <c r="C12" s="34"/>
      <c r="D12" s="36" t="s">
        <v>535</v>
      </c>
      <c r="E12" s="37">
        <f>2911475*12</f>
        <v>34937700</v>
      </c>
      <c r="F12" s="39" t="s">
        <v>0</v>
      </c>
      <c r="H12" s="20" t="s">
        <v>396</v>
      </c>
      <c r="I12" s="166">
        <f>E5-E33-E58-E69-E71</f>
        <v>570475400</v>
      </c>
      <c r="J12" s="167">
        <f>I12/I10*100</f>
        <v>25.258531442405364</v>
      </c>
      <c r="K12" s="168" t="s">
        <v>397</v>
      </c>
      <c r="L12" s="169">
        <f>I5*5%</f>
        <v>30950000</v>
      </c>
      <c r="M12" s="164">
        <f>M5+M19</f>
        <v>1407450000</v>
      </c>
      <c r="O12" s="164">
        <f>M5-239300000</f>
        <v>1087317000</v>
      </c>
      <c r="P12" s="1"/>
      <c r="Q12" s="1">
        <v>582565000</v>
      </c>
      <c r="R12" s="79"/>
      <c r="S12" s="79"/>
    </row>
    <row r="13" spans="1:19" x14ac:dyDescent="0.25">
      <c r="A13" s="3"/>
      <c r="B13" s="3"/>
      <c r="C13" s="34"/>
      <c r="D13" s="36" t="s">
        <v>506</v>
      </c>
      <c r="E13" s="37">
        <f>1600000*12</f>
        <v>19200000</v>
      </c>
      <c r="F13" s="39" t="s">
        <v>0</v>
      </c>
      <c r="H13" s="20" t="s">
        <v>398</v>
      </c>
      <c r="I13" s="170">
        <f>I11-I12</f>
        <v>107088220</v>
      </c>
      <c r="J13">
        <f>I5*5%</f>
        <v>30950000</v>
      </c>
      <c r="K13" s="171"/>
      <c r="L13" s="169"/>
      <c r="M13" s="164">
        <f>I5+J5+K5+M5+O5+P5</f>
        <v>2385017000</v>
      </c>
      <c r="Q13" s="164">
        <f>Q11-Q12</f>
        <v>18876000</v>
      </c>
      <c r="R13" s="79"/>
      <c r="S13" s="79"/>
    </row>
    <row r="14" spans="1:19" x14ac:dyDescent="0.25">
      <c r="A14" s="3"/>
      <c r="B14" s="3"/>
      <c r="C14" s="34"/>
      <c r="D14" s="36" t="s">
        <v>93</v>
      </c>
      <c r="E14" s="37">
        <v>1200000</v>
      </c>
      <c r="F14" s="39" t="s">
        <v>6</v>
      </c>
      <c r="H14" s="171"/>
      <c r="I14" s="172"/>
      <c r="J14" s="164">
        <f>I5+J13</f>
        <v>649950000</v>
      </c>
      <c r="K14" s="171"/>
      <c r="L14" s="169"/>
      <c r="M14" s="164"/>
      <c r="Q14" s="164"/>
      <c r="R14" s="79"/>
      <c r="S14" s="79"/>
    </row>
    <row r="15" spans="1:19" x14ac:dyDescent="0.25">
      <c r="A15" s="3"/>
      <c r="B15" s="3"/>
      <c r="C15" s="34"/>
      <c r="D15" s="36" t="s">
        <v>536</v>
      </c>
      <c r="E15" s="37">
        <f>2079625*9*12</f>
        <v>224599500</v>
      </c>
      <c r="F15" s="36" t="s">
        <v>0</v>
      </c>
      <c r="H15" s="173">
        <f>E12+E15+E16</f>
        <v>259537200</v>
      </c>
      <c r="I15" s="173">
        <f>E14+E18</f>
        <v>6600000</v>
      </c>
      <c r="K15">
        <f>11*12</f>
        <v>132</v>
      </c>
      <c r="M15" s="173">
        <f>M5*8%</f>
        <v>106129360</v>
      </c>
      <c r="N15" s="164">
        <v>73000000</v>
      </c>
    </row>
    <row r="16" spans="1:19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H16" s="173">
        <f>E13+E17</f>
        <v>143400000</v>
      </c>
      <c r="M16" s="173"/>
      <c r="N16" s="164"/>
    </row>
    <row r="17" spans="1:17" x14ac:dyDescent="0.25">
      <c r="A17" s="3"/>
      <c r="B17" s="3"/>
      <c r="C17" s="34"/>
      <c r="D17" s="36" t="s">
        <v>507</v>
      </c>
      <c r="E17" s="37">
        <f>1150000*9*12</f>
        <v>124200000</v>
      </c>
      <c r="F17" s="36" t="s">
        <v>0</v>
      </c>
      <c r="H17" s="173">
        <f>SUM(E15:E16)</f>
        <v>224599500</v>
      </c>
      <c r="I17" s="173">
        <f>H17/108</f>
        <v>2079625</v>
      </c>
      <c r="J17" s="380">
        <f>J19+K19</f>
        <v>6000000</v>
      </c>
      <c r="K17" s="380"/>
    </row>
    <row r="18" spans="1:17" x14ac:dyDescent="0.25">
      <c r="A18" s="3"/>
      <c r="B18" s="3"/>
      <c r="C18" s="34"/>
      <c r="D18" s="36" t="s">
        <v>97</v>
      </c>
      <c r="E18" s="41">
        <v>5400000</v>
      </c>
      <c r="F18" s="42" t="s">
        <v>6</v>
      </c>
      <c r="H18" s="26"/>
      <c r="I18" s="174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SUM(E20:E32)</f>
        <v>19327200</v>
      </c>
      <c r="F19" s="3" t="s">
        <v>0</v>
      </c>
      <c r="H19" s="182" t="s">
        <v>390</v>
      </c>
      <c r="I19" s="176">
        <v>10095400</v>
      </c>
      <c r="J19" s="177">
        <v>3000000</v>
      </c>
      <c r="K19" s="177">
        <v>3000000</v>
      </c>
      <c r="L19" s="177">
        <v>5000000</v>
      </c>
      <c r="M19" s="176">
        <v>80833000</v>
      </c>
      <c r="N19" s="176">
        <v>2000000</v>
      </c>
      <c r="O19" s="176">
        <v>0</v>
      </c>
      <c r="P19" s="178">
        <v>0</v>
      </c>
      <c r="Q19" s="175"/>
    </row>
    <row r="20" spans="1:17" x14ac:dyDescent="0.25">
      <c r="A20" s="3"/>
      <c r="B20" s="3"/>
      <c r="C20" s="34"/>
      <c r="D20" s="43" t="s">
        <v>99</v>
      </c>
      <c r="E20" s="37"/>
      <c r="F20" s="3"/>
      <c r="H20" s="26" t="s">
        <v>399</v>
      </c>
      <c r="I20" s="381">
        <f>SUM(I19:N19)</f>
        <v>103928400</v>
      </c>
      <c r="J20" s="382"/>
      <c r="K20" s="382"/>
      <c r="L20" s="382"/>
      <c r="M20" s="382"/>
      <c r="N20" s="382"/>
      <c r="O20" s="382"/>
      <c r="P20" s="383"/>
      <c r="Q20" s="179"/>
    </row>
    <row r="21" spans="1:17" x14ac:dyDescent="0.25">
      <c r="A21" s="3"/>
      <c r="B21" s="3"/>
      <c r="C21" s="34"/>
      <c r="D21" s="43" t="s">
        <v>100</v>
      </c>
      <c r="E21" s="37">
        <f>F21*12</f>
        <v>1846800</v>
      </c>
      <c r="F21" s="44">
        <v>153900</v>
      </c>
      <c r="H21" s="180" t="s">
        <v>400</v>
      </c>
      <c r="I21" s="181">
        <f>I19-E16-E35-96753.61</f>
        <v>9998646.3900000006</v>
      </c>
      <c r="J21" s="181">
        <f>J8+J19</f>
        <v>0</v>
      </c>
      <c r="K21" s="181">
        <f>K8+K19</f>
        <v>0</v>
      </c>
      <c r="L21" s="181">
        <f>L19</f>
        <v>5000000</v>
      </c>
      <c r="M21" s="181">
        <f>M19</f>
        <v>80833000</v>
      </c>
      <c r="N21" s="181">
        <f>N8+N19</f>
        <v>0</v>
      </c>
      <c r="O21" s="181"/>
      <c r="P21" s="20"/>
      <c r="Q21" s="171"/>
    </row>
    <row r="22" spans="1:17" x14ac:dyDescent="0.25">
      <c r="A22" s="3"/>
      <c r="B22" s="3"/>
      <c r="C22" s="34"/>
      <c r="D22" s="43" t="s">
        <v>101</v>
      </c>
      <c r="E22" s="37">
        <f t="shared" ref="E22:E28" si="1">F22*12</f>
        <v>998400</v>
      </c>
      <c r="F22" s="44">
        <v>83200</v>
      </c>
      <c r="H22" s="26" t="s">
        <v>401</v>
      </c>
      <c r="I22" s="181">
        <f>I8+I19</f>
        <v>0</v>
      </c>
      <c r="J22" s="181">
        <f>J8+J19</f>
        <v>0</v>
      </c>
      <c r="K22" s="181">
        <f>K8+K19</f>
        <v>0</v>
      </c>
      <c r="L22" s="181">
        <f>L8+L19</f>
        <v>0</v>
      </c>
      <c r="M22" s="181">
        <f>M8+M19-E461</f>
        <v>0</v>
      </c>
      <c r="N22" s="181">
        <f>N8+N19</f>
        <v>0</v>
      </c>
      <c r="O22" s="181"/>
      <c r="P22" s="20"/>
    </row>
    <row r="23" spans="1:17" x14ac:dyDescent="0.25">
      <c r="A23" s="3"/>
      <c r="B23" s="3"/>
      <c r="C23" s="34"/>
      <c r="D23" s="43" t="s">
        <v>102</v>
      </c>
      <c r="E23" s="37">
        <f t="shared" si="1"/>
        <v>150000</v>
      </c>
      <c r="F23" s="44">
        <v>12500</v>
      </c>
    </row>
    <row r="24" spans="1:17" x14ac:dyDescent="0.25">
      <c r="A24" s="3"/>
      <c r="B24" s="3"/>
      <c r="C24" s="34"/>
      <c r="D24" s="43" t="s">
        <v>103</v>
      </c>
      <c r="E24" s="37">
        <f t="shared" si="1"/>
        <v>120000</v>
      </c>
      <c r="F24" s="44">
        <v>10000</v>
      </c>
      <c r="Q24">
        <f>40000000*20%</f>
        <v>8000000</v>
      </c>
    </row>
    <row r="25" spans="1:17" x14ac:dyDescent="0.25">
      <c r="A25" s="3"/>
      <c r="B25" s="3"/>
      <c r="C25" s="34"/>
      <c r="D25" s="43" t="s">
        <v>476</v>
      </c>
      <c r="E25" s="37">
        <f t="shared" si="1"/>
        <v>1293600</v>
      </c>
      <c r="F25" s="44">
        <v>107800</v>
      </c>
      <c r="H25">
        <f>E18/9</f>
        <v>600000</v>
      </c>
      <c r="J25" s="164">
        <f>600000*9</f>
        <v>5400000</v>
      </c>
    </row>
    <row r="26" spans="1:17" x14ac:dyDescent="0.25">
      <c r="A26" s="3"/>
      <c r="B26" s="3"/>
      <c r="C26" s="34"/>
      <c r="D26" s="43" t="s">
        <v>477</v>
      </c>
      <c r="E26" s="37">
        <f t="shared" si="1"/>
        <v>699600</v>
      </c>
      <c r="F26" s="44">
        <v>58300</v>
      </c>
      <c r="J26">
        <f>J25/9</f>
        <v>600000</v>
      </c>
    </row>
    <row r="27" spans="1:17" x14ac:dyDescent="0.25">
      <c r="A27" s="3"/>
      <c r="B27" s="3"/>
      <c r="C27" s="34"/>
      <c r="D27" s="43" t="s">
        <v>478</v>
      </c>
      <c r="E27" s="37">
        <f t="shared" si="1"/>
        <v>105600</v>
      </c>
      <c r="F27" s="44">
        <v>8800</v>
      </c>
      <c r="H27">
        <f>L5*20%</f>
        <v>8200000</v>
      </c>
      <c r="I27">
        <v>1400000</v>
      </c>
    </row>
    <row r="28" spans="1:17" x14ac:dyDescent="0.25">
      <c r="A28" s="3"/>
      <c r="B28" s="3"/>
      <c r="C28" s="34"/>
      <c r="D28" s="43" t="s">
        <v>479</v>
      </c>
      <c r="E28" s="37">
        <f t="shared" si="1"/>
        <v>84000</v>
      </c>
      <c r="F28" s="44">
        <v>7000</v>
      </c>
      <c r="H28">
        <f>L5*10%</f>
        <v>4100000</v>
      </c>
      <c r="I28">
        <v>1200000</v>
      </c>
    </row>
    <row r="29" spans="1:17" x14ac:dyDescent="0.25">
      <c r="A29" s="3"/>
      <c r="B29" s="3"/>
      <c r="C29" s="34"/>
      <c r="D29" s="43" t="s">
        <v>105</v>
      </c>
      <c r="E29" s="37">
        <f>F29*9*12</f>
        <v>8316000</v>
      </c>
      <c r="F29" s="44">
        <v>77000</v>
      </c>
      <c r="I29">
        <v>5400000</v>
      </c>
      <c r="Q29">
        <f>40000000*10%</f>
        <v>4000000</v>
      </c>
    </row>
    <row r="30" spans="1:17" x14ac:dyDescent="0.25">
      <c r="A30" s="3"/>
      <c r="B30" s="3"/>
      <c r="C30" s="34"/>
      <c r="D30" s="43" t="s">
        <v>106</v>
      </c>
      <c r="E30" s="37">
        <f t="shared" ref="E30:E31" si="2">F30*9*12</f>
        <v>4492800</v>
      </c>
      <c r="F30" s="44">
        <v>41600</v>
      </c>
      <c r="I30" s="193">
        <f>SUM(I27:I29)</f>
        <v>8000000</v>
      </c>
    </row>
    <row r="31" spans="1:17" x14ac:dyDescent="0.25">
      <c r="A31" s="3"/>
      <c r="B31" s="3"/>
      <c r="C31" s="34"/>
      <c r="D31" s="43" t="s">
        <v>107</v>
      </c>
      <c r="E31" s="37">
        <f t="shared" si="2"/>
        <v>680400</v>
      </c>
      <c r="F31" s="44">
        <v>6300</v>
      </c>
    </row>
    <row r="32" spans="1:17" x14ac:dyDescent="0.25">
      <c r="A32" s="3"/>
      <c r="B32" s="3"/>
      <c r="C32" s="34"/>
      <c r="D32" s="43" t="s">
        <v>108</v>
      </c>
      <c r="E32" s="37">
        <f>F32*9*12</f>
        <v>540000</v>
      </c>
      <c r="F32" s="44">
        <v>5000</v>
      </c>
    </row>
    <row r="33" spans="1:8" x14ac:dyDescent="0.25">
      <c r="A33" s="3">
        <v>1</v>
      </c>
      <c r="B33" s="3">
        <v>1</v>
      </c>
      <c r="C33" s="34" t="s">
        <v>109</v>
      </c>
      <c r="D33" s="4" t="s">
        <v>16</v>
      </c>
      <c r="E33" s="45">
        <f>SUM(E34:E49)</f>
        <v>120920000</v>
      </c>
      <c r="F33" s="2"/>
    </row>
    <row r="34" spans="1:8" x14ac:dyDescent="0.25">
      <c r="A34" s="46"/>
      <c r="B34" s="46"/>
      <c r="C34" s="47"/>
      <c r="D34" s="48" t="s">
        <v>110</v>
      </c>
      <c r="E34" s="49">
        <v>7200000</v>
      </c>
      <c r="F34" s="42" t="s">
        <v>6</v>
      </c>
      <c r="G34" s="173">
        <f>E34/12</f>
        <v>600000</v>
      </c>
    </row>
    <row r="35" spans="1:8" hidden="1" x14ac:dyDescent="0.25">
      <c r="A35" s="46"/>
      <c r="B35" s="46"/>
      <c r="C35" s="47"/>
      <c r="D35" s="48" t="s">
        <v>110</v>
      </c>
      <c r="E35" s="49">
        <v>0</v>
      </c>
      <c r="F35" s="42" t="s">
        <v>111</v>
      </c>
    </row>
    <row r="36" spans="1:8" x14ac:dyDescent="0.25">
      <c r="A36" s="46"/>
      <c r="B36" s="46"/>
      <c r="C36" s="47"/>
      <c r="D36" s="48" t="s">
        <v>112</v>
      </c>
      <c r="E36" s="49">
        <v>10000000</v>
      </c>
      <c r="F36" s="48" t="s">
        <v>0</v>
      </c>
    </row>
    <row r="37" spans="1:8" x14ac:dyDescent="0.25">
      <c r="A37" s="46"/>
      <c r="B37" s="46"/>
      <c r="C37" s="47"/>
      <c r="D37" s="48" t="s">
        <v>113</v>
      </c>
      <c r="E37" s="49">
        <v>1200000</v>
      </c>
      <c r="F37" s="48" t="s">
        <v>6</v>
      </c>
      <c r="G37" s="173">
        <f>E37/12</f>
        <v>100000</v>
      </c>
    </row>
    <row r="38" spans="1:8" x14ac:dyDescent="0.25">
      <c r="A38" s="46"/>
      <c r="B38" s="46"/>
      <c r="C38" s="47"/>
      <c r="D38" s="42" t="s">
        <v>114</v>
      </c>
      <c r="E38" s="50">
        <v>720000</v>
      </c>
      <c r="F38" s="42" t="s">
        <v>0</v>
      </c>
    </row>
    <row r="39" spans="1:8" hidden="1" x14ac:dyDescent="0.25">
      <c r="A39" s="46"/>
      <c r="B39" s="46"/>
      <c r="C39" s="47"/>
      <c r="D39" s="42" t="s">
        <v>115</v>
      </c>
      <c r="E39" s="50">
        <v>0</v>
      </c>
      <c r="F39" s="42" t="s">
        <v>0</v>
      </c>
    </row>
    <row r="40" spans="1:8" x14ac:dyDescent="0.25">
      <c r="A40" s="46"/>
      <c r="B40" s="46"/>
      <c r="C40" s="47"/>
      <c r="D40" s="42" t="s">
        <v>116</v>
      </c>
      <c r="E40" s="50">
        <v>4000000</v>
      </c>
      <c r="F40" s="42" t="s">
        <v>0</v>
      </c>
    </row>
    <row r="41" spans="1:8" x14ac:dyDescent="0.25">
      <c r="A41" s="46"/>
      <c r="B41" s="46"/>
      <c r="C41" s="47"/>
      <c r="D41" s="48" t="s">
        <v>410</v>
      </c>
      <c r="E41" s="49">
        <v>6000000</v>
      </c>
      <c r="F41" s="42" t="s">
        <v>9</v>
      </c>
    </row>
    <row r="42" spans="1:8" x14ac:dyDescent="0.25">
      <c r="A42" s="46"/>
      <c r="B42" s="46"/>
      <c r="C42" s="46"/>
      <c r="D42" s="42" t="s">
        <v>117</v>
      </c>
      <c r="E42" s="50">
        <v>1100000</v>
      </c>
      <c r="F42" s="42" t="s">
        <v>6</v>
      </c>
    </row>
    <row r="43" spans="1:8" x14ac:dyDescent="0.25">
      <c r="A43" s="46"/>
      <c r="B43" s="46"/>
      <c r="C43" s="46"/>
      <c r="D43" s="42" t="s">
        <v>538</v>
      </c>
      <c r="E43" s="50">
        <v>5000000</v>
      </c>
      <c r="F43" s="42" t="s">
        <v>1</v>
      </c>
    </row>
    <row r="44" spans="1:8" x14ac:dyDescent="0.25">
      <c r="A44" s="46"/>
      <c r="B44" s="46"/>
      <c r="C44" s="46"/>
      <c r="D44" s="42" t="s">
        <v>539</v>
      </c>
      <c r="E44" s="50">
        <v>10000000</v>
      </c>
      <c r="F44" s="42" t="s">
        <v>6</v>
      </c>
      <c r="H44" s="173">
        <f>SUM(E43:E45)</f>
        <v>20000000</v>
      </c>
    </row>
    <row r="45" spans="1:8" x14ac:dyDescent="0.25">
      <c r="A45" s="46"/>
      <c r="B45" s="46"/>
      <c r="C45" s="46"/>
      <c r="D45" s="42" t="s">
        <v>540</v>
      </c>
      <c r="E45" s="50">
        <v>5000000</v>
      </c>
      <c r="F45" s="42" t="s">
        <v>2</v>
      </c>
    </row>
    <row r="46" spans="1:8" x14ac:dyDescent="0.25">
      <c r="A46" s="46"/>
      <c r="B46" s="46"/>
      <c r="C46" s="46"/>
      <c r="D46" s="42" t="s">
        <v>119</v>
      </c>
      <c r="E46" s="50">
        <v>10000000</v>
      </c>
      <c r="F46" s="42" t="s">
        <v>6</v>
      </c>
    </row>
    <row r="47" spans="1:8" x14ac:dyDescent="0.25">
      <c r="A47" s="46"/>
      <c r="B47" s="46"/>
      <c r="C47" s="46"/>
      <c r="D47" s="42" t="s">
        <v>120</v>
      </c>
      <c r="E47" s="50">
        <v>25800000</v>
      </c>
      <c r="F47" s="42" t="s">
        <v>1</v>
      </c>
    </row>
    <row r="48" spans="1:8" x14ac:dyDescent="0.25">
      <c r="A48" s="46"/>
      <c r="B48" s="46"/>
      <c r="C48" s="46"/>
      <c r="D48" s="42" t="s">
        <v>120</v>
      </c>
      <c r="E48" s="50">
        <v>25800000</v>
      </c>
      <c r="F48" s="42" t="s">
        <v>0</v>
      </c>
    </row>
    <row r="49" spans="1:9" x14ac:dyDescent="0.25">
      <c r="A49" s="46"/>
      <c r="B49" s="46"/>
      <c r="C49" s="46"/>
      <c r="D49" s="42" t="s">
        <v>537</v>
      </c>
      <c r="E49" s="50">
        <v>9100000</v>
      </c>
      <c r="F49" s="42" t="s">
        <v>0</v>
      </c>
    </row>
    <row r="50" spans="1:9" x14ac:dyDescent="0.25">
      <c r="A50" s="5">
        <v>1</v>
      </c>
      <c r="B50" s="5">
        <v>1</v>
      </c>
      <c r="C50" s="53" t="s">
        <v>122</v>
      </c>
      <c r="D50" s="5" t="s">
        <v>17</v>
      </c>
      <c r="E50" s="54">
        <f>SUM(E51:E52)</f>
        <v>56500000</v>
      </c>
      <c r="F50" s="5" t="s">
        <v>0</v>
      </c>
    </row>
    <row r="51" spans="1:9" x14ac:dyDescent="0.25">
      <c r="A51" s="5"/>
      <c r="B51" s="5"/>
      <c r="C51" s="53"/>
      <c r="D51" s="55" t="s">
        <v>123</v>
      </c>
      <c r="E51" s="50">
        <v>52500000</v>
      </c>
      <c r="F51" s="42" t="s">
        <v>0</v>
      </c>
      <c r="H51" t="s">
        <v>541</v>
      </c>
      <c r="I51" s="256">
        <f>950000*12</f>
        <v>11400000</v>
      </c>
    </row>
    <row r="52" spans="1:9" x14ac:dyDescent="0.25">
      <c r="A52" s="5"/>
      <c r="B52" s="5"/>
      <c r="C52" s="53"/>
      <c r="D52" s="55" t="s">
        <v>124</v>
      </c>
      <c r="E52" s="50">
        <v>4000000</v>
      </c>
      <c r="F52" s="42" t="s">
        <v>6</v>
      </c>
      <c r="H52" t="s">
        <v>525</v>
      </c>
      <c r="I52" s="256">
        <f>875000*12</f>
        <v>10500000</v>
      </c>
    </row>
    <row r="53" spans="1:9" x14ac:dyDescent="0.25">
      <c r="A53" s="5">
        <v>1</v>
      </c>
      <c r="B53" s="5">
        <v>1</v>
      </c>
      <c r="C53" s="53" t="s">
        <v>125</v>
      </c>
      <c r="D53" s="5" t="s">
        <v>18</v>
      </c>
      <c r="E53" s="54">
        <f>SUM(E54:E57)</f>
        <v>8000000</v>
      </c>
      <c r="F53" s="5" t="s">
        <v>135</v>
      </c>
      <c r="H53" t="s">
        <v>526</v>
      </c>
      <c r="I53" s="256">
        <f>I52</f>
        <v>10500000</v>
      </c>
    </row>
    <row r="54" spans="1:9" x14ac:dyDescent="0.25">
      <c r="A54" s="46"/>
      <c r="B54" s="46"/>
      <c r="C54" s="46"/>
      <c r="D54" s="42" t="s">
        <v>126</v>
      </c>
      <c r="E54" s="50">
        <v>1500000</v>
      </c>
      <c r="F54" s="42" t="s">
        <v>1</v>
      </c>
      <c r="G54" t="s">
        <v>6</v>
      </c>
      <c r="H54" t="s">
        <v>542</v>
      </c>
      <c r="I54" s="256">
        <f>837500*12</f>
        <v>10050000</v>
      </c>
    </row>
    <row r="55" spans="1:9" x14ac:dyDescent="0.25">
      <c r="A55" s="46"/>
      <c r="B55" s="46"/>
      <c r="C55" s="46"/>
      <c r="D55" s="42" t="s">
        <v>127</v>
      </c>
      <c r="E55" s="50">
        <v>1000000</v>
      </c>
      <c r="F55" s="42" t="s">
        <v>6</v>
      </c>
      <c r="H55" t="s">
        <v>542</v>
      </c>
      <c r="I55" s="256">
        <f>I54</f>
        <v>10050000</v>
      </c>
    </row>
    <row r="56" spans="1:9" x14ac:dyDescent="0.25">
      <c r="A56" s="46"/>
      <c r="B56" s="46"/>
      <c r="C56" s="46"/>
      <c r="D56" s="42" t="s">
        <v>128</v>
      </c>
      <c r="E56" s="50">
        <v>2500000</v>
      </c>
      <c r="F56" s="42" t="s">
        <v>6</v>
      </c>
      <c r="I56" s="257">
        <f>SUM(I51:I55)</f>
        <v>52500000</v>
      </c>
    </row>
    <row r="57" spans="1:9" x14ac:dyDescent="0.25">
      <c r="A57" s="46"/>
      <c r="B57" s="46"/>
      <c r="C57" s="46"/>
      <c r="D57" s="42" t="s">
        <v>129</v>
      </c>
      <c r="E57" s="50">
        <v>3000000</v>
      </c>
      <c r="F57" s="42" t="s">
        <v>1</v>
      </c>
      <c r="G57" t="s">
        <v>6</v>
      </c>
    </row>
    <row r="58" spans="1:9" x14ac:dyDescent="0.25">
      <c r="A58" s="5">
        <v>1</v>
      </c>
      <c r="B58" s="5">
        <v>1</v>
      </c>
      <c r="C58" s="53" t="s">
        <v>160</v>
      </c>
      <c r="D58" s="5" t="s">
        <v>438</v>
      </c>
      <c r="E58" s="54">
        <f>E59+E62+E65</f>
        <v>34000000</v>
      </c>
      <c r="F58" s="5" t="s">
        <v>3</v>
      </c>
      <c r="H58">
        <f>M5*3%</f>
        <v>39798510</v>
      </c>
    </row>
    <row r="59" spans="1:9" x14ac:dyDescent="0.25">
      <c r="A59" s="46"/>
      <c r="B59" s="46"/>
      <c r="C59" s="55" t="s">
        <v>85</v>
      </c>
      <c r="D59" s="63" t="s">
        <v>439</v>
      </c>
      <c r="E59" s="64">
        <f>E60+E61</f>
        <v>5000000</v>
      </c>
      <c r="F59" s="42"/>
    </row>
    <row r="60" spans="1:9" x14ac:dyDescent="0.25">
      <c r="A60" s="46"/>
      <c r="B60" s="46"/>
      <c r="C60" s="55"/>
      <c r="D60" s="55" t="s">
        <v>468</v>
      </c>
      <c r="E60" s="50">
        <v>3000000</v>
      </c>
      <c r="F60" s="42"/>
    </row>
    <row r="61" spans="1:9" x14ac:dyDescent="0.25">
      <c r="A61" s="46"/>
      <c r="B61" s="46"/>
      <c r="C61" s="55"/>
      <c r="D61" s="55" t="s">
        <v>469</v>
      </c>
      <c r="E61" s="50">
        <v>2000000</v>
      </c>
      <c r="F61" s="42"/>
    </row>
    <row r="62" spans="1:9" ht="30" x14ac:dyDescent="0.25">
      <c r="A62" s="97"/>
      <c r="B62" s="97"/>
      <c r="C62" s="38" t="s">
        <v>89</v>
      </c>
      <c r="D62" s="99" t="s">
        <v>440</v>
      </c>
      <c r="E62" s="100">
        <f>E63+E64</f>
        <v>7000000</v>
      </c>
      <c r="F62" s="36"/>
    </row>
    <row r="63" spans="1:9" x14ac:dyDescent="0.25">
      <c r="A63" s="97"/>
      <c r="B63" s="97"/>
      <c r="C63" s="38"/>
      <c r="D63" s="101" t="s">
        <v>470</v>
      </c>
      <c r="E63" s="37">
        <v>2000000</v>
      </c>
      <c r="F63" s="36"/>
    </row>
    <row r="64" spans="1:9" x14ac:dyDescent="0.25">
      <c r="A64" s="97"/>
      <c r="B64" s="97"/>
      <c r="C64" s="38"/>
      <c r="D64" s="101" t="s">
        <v>471</v>
      </c>
      <c r="E64" s="37">
        <v>5000000</v>
      </c>
      <c r="F64" s="36"/>
    </row>
    <row r="65" spans="1:6" x14ac:dyDescent="0.25">
      <c r="A65" s="46"/>
      <c r="B65" s="46"/>
      <c r="C65" s="55" t="s">
        <v>98</v>
      </c>
      <c r="D65" s="63" t="s">
        <v>441</v>
      </c>
      <c r="E65" s="64">
        <f>E66+E67+E68</f>
        <v>22000000</v>
      </c>
      <c r="F65" s="42"/>
    </row>
    <row r="66" spans="1:6" x14ac:dyDescent="0.25">
      <c r="A66" s="46"/>
      <c r="B66" s="46"/>
      <c r="C66" s="55"/>
      <c r="D66" s="55" t="s">
        <v>472</v>
      </c>
      <c r="E66" s="50">
        <v>5000000</v>
      </c>
      <c r="F66" s="42"/>
    </row>
    <row r="67" spans="1:6" x14ac:dyDescent="0.25">
      <c r="A67" s="46"/>
      <c r="B67" s="46"/>
      <c r="C67" s="55"/>
      <c r="D67" s="55" t="s">
        <v>543</v>
      </c>
      <c r="E67" s="50">
        <v>15000000</v>
      </c>
      <c r="F67" s="42"/>
    </row>
    <row r="68" spans="1:6" x14ac:dyDescent="0.25">
      <c r="A68" s="46"/>
      <c r="B68" s="46"/>
      <c r="C68" s="55"/>
      <c r="D68" s="55" t="s">
        <v>474</v>
      </c>
      <c r="E68" s="50">
        <v>2000000</v>
      </c>
      <c r="F68" s="42"/>
    </row>
    <row r="69" spans="1:6" x14ac:dyDescent="0.25">
      <c r="A69" s="5">
        <v>1</v>
      </c>
      <c r="B69" s="5">
        <v>1</v>
      </c>
      <c r="C69" s="53" t="s">
        <v>130</v>
      </c>
      <c r="D69" s="5" t="s">
        <v>19</v>
      </c>
      <c r="E69" s="54">
        <f>E70</f>
        <v>18000000</v>
      </c>
      <c r="F69" s="5" t="s">
        <v>131</v>
      </c>
    </row>
    <row r="70" spans="1:6" x14ac:dyDescent="0.25">
      <c r="A70" s="46"/>
      <c r="B70" s="46"/>
      <c r="C70" s="46"/>
      <c r="D70" s="42" t="s">
        <v>19</v>
      </c>
      <c r="E70" s="50">
        <v>18000000</v>
      </c>
      <c r="F70" s="42" t="s">
        <v>131</v>
      </c>
    </row>
    <row r="71" spans="1:6" x14ac:dyDescent="0.25">
      <c r="A71" s="5">
        <v>1</v>
      </c>
      <c r="B71" s="5">
        <v>1</v>
      </c>
      <c r="C71" s="53" t="s">
        <v>444</v>
      </c>
      <c r="D71" s="5" t="s">
        <v>445</v>
      </c>
      <c r="E71" s="54">
        <f>SUM(E72:E73)</f>
        <v>38400000</v>
      </c>
      <c r="F71" s="5" t="s">
        <v>131</v>
      </c>
    </row>
    <row r="72" spans="1:6" x14ac:dyDescent="0.25">
      <c r="A72" s="5"/>
      <c r="B72" s="5"/>
      <c r="C72" s="53"/>
      <c r="D72" s="42" t="s">
        <v>446</v>
      </c>
      <c r="E72" s="50">
        <v>6000000</v>
      </c>
      <c r="F72" s="42"/>
    </row>
    <row r="73" spans="1:6" x14ac:dyDescent="0.25">
      <c r="A73" s="46"/>
      <c r="B73" s="46"/>
      <c r="C73" s="46"/>
      <c r="D73" s="42" t="s">
        <v>447</v>
      </c>
      <c r="E73" s="50">
        <v>32400000</v>
      </c>
      <c r="F73" s="42"/>
    </row>
    <row r="74" spans="1:6" x14ac:dyDescent="0.25">
      <c r="A74" s="8">
        <v>1</v>
      </c>
      <c r="B74" s="8">
        <v>2</v>
      </c>
      <c r="C74" s="56"/>
      <c r="D74" s="8" t="s">
        <v>25</v>
      </c>
      <c r="E74" s="57">
        <f>E75+E78+E88</f>
        <v>246600000</v>
      </c>
      <c r="F74" s="58"/>
    </row>
    <row r="75" spans="1:6" x14ac:dyDescent="0.25">
      <c r="A75" s="5">
        <v>1</v>
      </c>
      <c r="B75" s="5">
        <v>2</v>
      </c>
      <c r="C75" s="53" t="s">
        <v>85</v>
      </c>
      <c r="D75" s="5" t="s">
        <v>22</v>
      </c>
      <c r="E75" s="54">
        <f>SUM(E76:E77)</f>
        <v>6200000</v>
      </c>
      <c r="F75" s="5" t="s">
        <v>0</v>
      </c>
    </row>
    <row r="76" spans="1:6" hidden="1" x14ac:dyDescent="0.25">
      <c r="A76" s="46"/>
      <c r="B76" s="46"/>
      <c r="C76" s="47"/>
      <c r="D76" s="42" t="s">
        <v>409</v>
      </c>
      <c r="E76" s="51">
        <v>0</v>
      </c>
      <c r="F76" s="42" t="s">
        <v>1</v>
      </c>
    </row>
    <row r="77" spans="1:6" x14ac:dyDescent="0.25">
      <c r="A77" s="46"/>
      <c r="B77" s="46"/>
      <c r="C77" s="47"/>
      <c r="D77" s="42" t="s">
        <v>583</v>
      </c>
      <c r="E77" s="50">
        <v>6200000</v>
      </c>
      <c r="F77" s="42" t="s">
        <v>0</v>
      </c>
    </row>
    <row r="78" spans="1:6" x14ac:dyDescent="0.25">
      <c r="A78" s="3">
        <v>1</v>
      </c>
      <c r="B78" s="3">
        <v>2</v>
      </c>
      <c r="C78" s="34" t="s">
        <v>89</v>
      </c>
      <c r="D78" s="3" t="s">
        <v>23</v>
      </c>
      <c r="E78" s="35">
        <f>E79+E83+E84+E85</f>
        <v>20400000</v>
      </c>
      <c r="F78" s="59" t="s">
        <v>585</v>
      </c>
    </row>
    <row r="79" spans="1:6" x14ac:dyDescent="0.25">
      <c r="A79" s="5"/>
      <c r="B79" s="5"/>
      <c r="C79" s="53"/>
      <c r="D79" s="60" t="s">
        <v>134</v>
      </c>
      <c r="E79" s="61">
        <f>SUM(E80:E82)</f>
        <v>4000000</v>
      </c>
      <c r="F79" s="60" t="s">
        <v>1</v>
      </c>
    </row>
    <row r="80" spans="1:6" x14ac:dyDescent="0.25">
      <c r="A80" s="5"/>
      <c r="B80" s="5"/>
      <c r="C80" s="53"/>
      <c r="D80" s="62" t="s">
        <v>136</v>
      </c>
      <c r="E80" s="49">
        <v>3000000</v>
      </c>
      <c r="F80" s="48" t="s">
        <v>1</v>
      </c>
    </row>
    <row r="81" spans="1:7" hidden="1" x14ac:dyDescent="0.25">
      <c r="A81" s="5"/>
      <c r="B81" s="5"/>
      <c r="C81" s="53"/>
      <c r="D81" s="62" t="s">
        <v>136</v>
      </c>
      <c r="E81" s="49">
        <v>0</v>
      </c>
      <c r="F81" s="48" t="s">
        <v>0</v>
      </c>
    </row>
    <row r="82" spans="1:7" x14ac:dyDescent="0.25">
      <c r="A82" s="5"/>
      <c r="B82" s="5"/>
      <c r="C82" s="53"/>
      <c r="D82" s="62" t="s">
        <v>137</v>
      </c>
      <c r="E82" s="49">
        <v>1000000</v>
      </c>
      <c r="F82" s="48" t="s">
        <v>1</v>
      </c>
      <c r="G82" t="s">
        <v>6</v>
      </c>
    </row>
    <row r="83" spans="1:7" x14ac:dyDescent="0.25">
      <c r="A83" s="5"/>
      <c r="B83" s="5"/>
      <c r="C83" s="53"/>
      <c r="D83" s="63" t="s">
        <v>138</v>
      </c>
      <c r="E83" s="64">
        <v>3000000</v>
      </c>
      <c r="F83" s="63" t="s">
        <v>2</v>
      </c>
    </row>
    <row r="84" spans="1:7" x14ac:dyDescent="0.25">
      <c r="A84" s="5"/>
      <c r="B84" s="5"/>
      <c r="C84" s="53"/>
      <c r="D84" s="63" t="s">
        <v>139</v>
      </c>
      <c r="E84" s="64">
        <v>10200000</v>
      </c>
      <c r="F84" s="63" t="s">
        <v>0</v>
      </c>
    </row>
    <row r="85" spans="1:7" x14ac:dyDescent="0.25">
      <c r="A85" s="5"/>
      <c r="B85" s="5"/>
      <c r="C85" s="53"/>
      <c r="D85" s="63" t="s">
        <v>140</v>
      </c>
      <c r="E85" s="64">
        <f>E86+E87</f>
        <v>3200000</v>
      </c>
      <c r="F85" s="63" t="s">
        <v>1</v>
      </c>
      <c r="G85" t="s">
        <v>6</v>
      </c>
    </row>
    <row r="86" spans="1:7" x14ac:dyDescent="0.25">
      <c r="A86" s="5"/>
      <c r="B86" s="5"/>
      <c r="C86" s="53"/>
      <c r="D86" s="65" t="s">
        <v>141</v>
      </c>
      <c r="E86" s="66">
        <v>1000000</v>
      </c>
      <c r="F86" s="67"/>
    </row>
    <row r="87" spans="1:7" x14ac:dyDescent="0.25">
      <c r="A87" s="5"/>
      <c r="B87" s="5"/>
      <c r="C87" s="53"/>
      <c r="D87" s="65" t="s">
        <v>142</v>
      </c>
      <c r="E87" s="66">
        <v>2200000</v>
      </c>
      <c r="F87" s="67"/>
    </row>
    <row r="88" spans="1:7" ht="30" x14ac:dyDescent="0.25">
      <c r="A88" s="3">
        <v>1</v>
      </c>
      <c r="B88" s="3">
        <v>2</v>
      </c>
      <c r="C88" s="34" t="s">
        <v>98</v>
      </c>
      <c r="D88" s="2" t="s">
        <v>24</v>
      </c>
      <c r="E88" s="35">
        <f>SUM(E89:E90)</f>
        <v>220000000</v>
      </c>
      <c r="F88" s="3" t="s">
        <v>4</v>
      </c>
    </row>
    <row r="89" spans="1:7" hidden="1" x14ac:dyDescent="0.25">
      <c r="A89" s="3"/>
      <c r="B89" s="3"/>
      <c r="C89" s="34"/>
      <c r="D89" s="65" t="s">
        <v>143</v>
      </c>
      <c r="E89" s="37">
        <v>0</v>
      </c>
      <c r="F89" s="36" t="s">
        <v>6</v>
      </c>
    </row>
    <row r="90" spans="1:7" x14ac:dyDescent="0.25">
      <c r="A90" s="5"/>
      <c r="B90" s="5"/>
      <c r="C90" s="53"/>
      <c r="D90" s="65" t="s">
        <v>582</v>
      </c>
      <c r="E90" s="66">
        <v>220000000</v>
      </c>
      <c r="F90" s="67" t="s">
        <v>4</v>
      </c>
    </row>
    <row r="91" spans="1:7" ht="30" x14ac:dyDescent="0.25">
      <c r="A91" s="68">
        <v>1</v>
      </c>
      <c r="B91" s="68">
        <v>3</v>
      </c>
      <c r="C91" s="68"/>
      <c r="D91" s="9" t="s">
        <v>26</v>
      </c>
      <c r="E91" s="33">
        <f>E92+E96+E101+E103</f>
        <v>21000000</v>
      </c>
      <c r="F91" s="69"/>
    </row>
    <row r="92" spans="1:7" x14ac:dyDescent="0.25">
      <c r="A92" s="5">
        <v>1</v>
      </c>
      <c r="B92" s="5">
        <v>3</v>
      </c>
      <c r="C92" s="53" t="s">
        <v>85</v>
      </c>
      <c r="D92" s="70" t="s">
        <v>27</v>
      </c>
      <c r="E92" s="54">
        <f>SUM(E93:E95)</f>
        <v>3000000</v>
      </c>
      <c r="F92" s="12" t="s">
        <v>1</v>
      </c>
    </row>
    <row r="93" spans="1:7" x14ac:dyDescent="0.25">
      <c r="A93" s="46"/>
      <c r="B93" s="46"/>
      <c r="C93" s="46"/>
      <c r="D93" s="71" t="s">
        <v>144</v>
      </c>
      <c r="E93" s="50">
        <v>1000000</v>
      </c>
      <c r="F93" s="72"/>
    </row>
    <row r="94" spans="1:7" x14ac:dyDescent="0.25">
      <c r="A94" s="46"/>
      <c r="B94" s="46"/>
      <c r="C94" s="46"/>
      <c r="D94" s="71" t="s">
        <v>145</v>
      </c>
      <c r="E94" s="50">
        <v>1000000</v>
      </c>
      <c r="F94" s="72"/>
    </row>
    <row r="95" spans="1:7" x14ac:dyDescent="0.25">
      <c r="A95" s="46"/>
      <c r="B95" s="46"/>
      <c r="C95" s="46"/>
      <c r="D95" s="71" t="s">
        <v>425</v>
      </c>
      <c r="E95" s="50">
        <v>1000000</v>
      </c>
      <c r="F95" s="72"/>
    </row>
    <row r="96" spans="1:7" x14ac:dyDescent="0.25">
      <c r="A96" s="5">
        <v>1</v>
      </c>
      <c r="B96" s="5">
        <v>3</v>
      </c>
      <c r="C96" s="53" t="s">
        <v>89</v>
      </c>
      <c r="D96" s="5" t="s">
        <v>28</v>
      </c>
      <c r="E96" s="54">
        <f>SUM(E97:E100)</f>
        <v>14000000</v>
      </c>
      <c r="F96" s="5" t="s">
        <v>3</v>
      </c>
    </row>
    <row r="97" spans="1:7" hidden="1" x14ac:dyDescent="0.25">
      <c r="A97" s="46"/>
      <c r="B97" s="46"/>
      <c r="C97" s="46"/>
      <c r="D97" s="42" t="s">
        <v>146</v>
      </c>
      <c r="E97" s="50">
        <v>0</v>
      </c>
      <c r="F97" s="42" t="s">
        <v>6</v>
      </c>
    </row>
    <row r="98" spans="1:7" hidden="1" x14ac:dyDescent="0.25">
      <c r="A98" s="46"/>
      <c r="B98" s="46"/>
      <c r="C98" s="46"/>
      <c r="D98" s="42" t="s">
        <v>128</v>
      </c>
      <c r="E98" s="50">
        <v>0</v>
      </c>
      <c r="F98" s="73"/>
    </row>
    <row r="99" spans="1:7" hidden="1" x14ac:dyDescent="0.25">
      <c r="A99" s="46"/>
      <c r="B99" s="46"/>
      <c r="C99" s="46"/>
      <c r="D99" s="42" t="s">
        <v>145</v>
      </c>
      <c r="E99" s="50">
        <v>0</v>
      </c>
      <c r="F99" s="48" t="s">
        <v>6</v>
      </c>
    </row>
    <row r="100" spans="1:7" x14ac:dyDescent="0.25">
      <c r="A100" s="46"/>
      <c r="B100" s="46"/>
      <c r="C100" s="46"/>
      <c r="D100" s="42" t="s">
        <v>147</v>
      </c>
      <c r="E100" s="50">
        <v>14000000</v>
      </c>
      <c r="F100" s="48" t="s">
        <v>3</v>
      </c>
      <c r="G100" s="186"/>
    </row>
    <row r="101" spans="1:7" x14ac:dyDescent="0.25">
      <c r="A101" s="3">
        <v>1</v>
      </c>
      <c r="B101" s="3">
        <v>3</v>
      </c>
      <c r="C101" s="34" t="s">
        <v>98</v>
      </c>
      <c r="D101" s="2" t="s">
        <v>29</v>
      </c>
      <c r="E101" s="35">
        <f>SUM(E102:E102)</f>
        <v>2000000</v>
      </c>
      <c r="F101" s="3" t="s">
        <v>2</v>
      </c>
    </row>
    <row r="102" spans="1:7" x14ac:dyDescent="0.25">
      <c r="A102" s="46"/>
      <c r="B102" s="46"/>
      <c r="C102" s="46"/>
      <c r="D102" s="42" t="s">
        <v>144</v>
      </c>
      <c r="E102" s="50">
        <v>2000000</v>
      </c>
      <c r="F102" s="74"/>
    </row>
    <row r="103" spans="1:7" x14ac:dyDescent="0.25">
      <c r="A103" s="3">
        <v>1</v>
      </c>
      <c r="B103" s="3">
        <v>3</v>
      </c>
      <c r="C103" s="34" t="s">
        <v>122</v>
      </c>
      <c r="D103" s="2" t="s">
        <v>30</v>
      </c>
      <c r="E103" s="35">
        <f>SUM(E104:E109)</f>
        <v>2000000</v>
      </c>
      <c r="F103" s="3" t="s">
        <v>1</v>
      </c>
    </row>
    <row r="104" spans="1:7" x14ac:dyDescent="0.25">
      <c r="A104" s="46"/>
      <c r="B104" s="46"/>
      <c r="C104" s="46"/>
      <c r="D104" s="42" t="s">
        <v>148</v>
      </c>
      <c r="E104" s="50">
        <v>2000000</v>
      </c>
      <c r="F104" s="74"/>
    </row>
    <row r="105" spans="1:7" hidden="1" x14ac:dyDescent="0.25">
      <c r="A105" s="46"/>
      <c r="B105" s="46"/>
      <c r="C105" s="46"/>
      <c r="D105" s="42"/>
      <c r="E105" s="50"/>
      <c r="F105" s="74"/>
    </row>
    <row r="106" spans="1:7" ht="15" hidden="1" customHeight="1" x14ac:dyDescent="0.25">
      <c r="A106" s="46"/>
      <c r="B106" s="46"/>
      <c r="C106" s="46"/>
      <c r="D106" s="46" t="s">
        <v>149</v>
      </c>
      <c r="E106" s="75">
        <v>0</v>
      </c>
      <c r="F106" s="46"/>
    </row>
    <row r="107" spans="1:7" ht="15" hidden="1" customHeight="1" x14ac:dyDescent="0.25">
      <c r="A107" s="46"/>
      <c r="B107" s="46"/>
      <c r="C107" s="46"/>
      <c r="D107" s="46" t="s">
        <v>145</v>
      </c>
      <c r="E107" s="75">
        <v>0</v>
      </c>
      <c r="F107" s="46"/>
    </row>
    <row r="108" spans="1:7" ht="15" hidden="1" customHeight="1" x14ac:dyDescent="0.25">
      <c r="A108" s="46"/>
      <c r="B108" s="46"/>
      <c r="C108" s="46"/>
      <c r="D108" s="46" t="s">
        <v>128</v>
      </c>
      <c r="E108" s="75">
        <v>0</v>
      </c>
      <c r="F108" s="46"/>
    </row>
    <row r="109" spans="1:7" ht="15" hidden="1" customHeight="1" x14ac:dyDescent="0.25">
      <c r="A109" s="46"/>
      <c r="B109" s="46"/>
      <c r="C109" s="46"/>
      <c r="D109" s="46" t="s">
        <v>129</v>
      </c>
      <c r="E109" s="75">
        <v>0</v>
      </c>
      <c r="F109" s="5"/>
    </row>
    <row r="110" spans="1:7" ht="15" hidden="1" customHeight="1" x14ac:dyDescent="0.25">
      <c r="A110" s="46"/>
      <c r="B110" s="46"/>
      <c r="C110" s="46"/>
      <c r="D110" s="46" t="s">
        <v>150</v>
      </c>
      <c r="E110" s="75">
        <v>0</v>
      </c>
      <c r="F110" s="5"/>
    </row>
    <row r="111" spans="1:7" ht="30" x14ac:dyDescent="0.25">
      <c r="A111" s="68">
        <v>1</v>
      </c>
      <c r="B111" s="68">
        <v>4</v>
      </c>
      <c r="C111" s="68"/>
      <c r="D111" s="9" t="s">
        <v>31</v>
      </c>
      <c r="E111" s="33">
        <f>E112+E115+E118+E125+E131+E134</f>
        <v>25100000</v>
      </c>
      <c r="F111" s="68"/>
    </row>
    <row r="112" spans="1:7" ht="30" x14ac:dyDescent="0.25">
      <c r="A112" s="3">
        <v>1</v>
      </c>
      <c r="B112" s="3">
        <v>4</v>
      </c>
      <c r="C112" s="34" t="s">
        <v>85</v>
      </c>
      <c r="D112" s="2" t="s">
        <v>32</v>
      </c>
      <c r="E112" s="35">
        <f>SUM(E113:E114)</f>
        <v>3000000</v>
      </c>
      <c r="F112" s="3" t="s">
        <v>0</v>
      </c>
    </row>
    <row r="113" spans="1:7" x14ac:dyDescent="0.25">
      <c r="A113" s="46"/>
      <c r="B113" s="46"/>
      <c r="C113" s="46"/>
      <c r="D113" s="48" t="s">
        <v>128</v>
      </c>
      <c r="E113" s="49">
        <v>3000000</v>
      </c>
      <c r="F113" s="48" t="s">
        <v>0</v>
      </c>
    </row>
    <row r="114" spans="1:7" hidden="1" x14ac:dyDescent="0.25">
      <c r="A114" s="46"/>
      <c r="B114" s="46"/>
      <c r="C114" s="46"/>
      <c r="D114" s="48" t="s">
        <v>151</v>
      </c>
      <c r="E114" s="49">
        <v>0</v>
      </c>
      <c r="F114" s="48" t="s">
        <v>1</v>
      </c>
    </row>
    <row r="115" spans="1:7" x14ac:dyDescent="0.25">
      <c r="A115" s="5">
        <v>1</v>
      </c>
      <c r="B115" s="5">
        <v>4</v>
      </c>
      <c r="C115" s="53" t="s">
        <v>89</v>
      </c>
      <c r="D115" s="5" t="s">
        <v>33</v>
      </c>
      <c r="E115" s="54">
        <f>SUM(E116:E117)</f>
        <v>3000000</v>
      </c>
      <c r="F115" s="5" t="s">
        <v>1</v>
      </c>
    </row>
    <row r="116" spans="1:7" x14ac:dyDescent="0.25">
      <c r="A116" s="5"/>
      <c r="B116" s="5"/>
      <c r="C116" s="53"/>
      <c r="D116" s="48" t="s">
        <v>128</v>
      </c>
      <c r="E116" s="49">
        <v>3000000</v>
      </c>
      <c r="F116" s="48" t="s">
        <v>1</v>
      </c>
    </row>
    <row r="117" spans="1:7" hidden="1" x14ac:dyDescent="0.25">
      <c r="A117" s="5"/>
      <c r="B117" s="5"/>
      <c r="C117" s="53"/>
      <c r="D117" s="48" t="s">
        <v>145</v>
      </c>
      <c r="E117" s="49">
        <v>0</v>
      </c>
      <c r="F117" s="48" t="s">
        <v>1</v>
      </c>
    </row>
    <row r="118" spans="1:7" ht="35.25" customHeight="1" x14ac:dyDescent="0.25">
      <c r="A118" s="3">
        <v>1</v>
      </c>
      <c r="B118" s="3">
        <v>4</v>
      </c>
      <c r="C118" s="34" t="s">
        <v>98</v>
      </c>
      <c r="D118" s="2" t="s">
        <v>34</v>
      </c>
      <c r="E118" s="35">
        <f>SUM(E119:E124)</f>
        <v>9500000</v>
      </c>
      <c r="F118" s="2" t="s">
        <v>1</v>
      </c>
    </row>
    <row r="119" spans="1:7" hidden="1" x14ac:dyDescent="0.25">
      <c r="A119" s="46"/>
      <c r="B119" s="46"/>
      <c r="C119" s="46"/>
      <c r="D119" s="42" t="s">
        <v>152</v>
      </c>
      <c r="E119" s="50">
        <v>0</v>
      </c>
      <c r="F119" s="42" t="s">
        <v>6</v>
      </c>
    </row>
    <row r="120" spans="1:7" x14ac:dyDescent="0.25">
      <c r="A120" s="46"/>
      <c r="B120" s="46"/>
      <c r="C120" s="46"/>
      <c r="D120" s="42" t="s">
        <v>128</v>
      </c>
      <c r="E120" s="50">
        <v>2000000</v>
      </c>
      <c r="F120" s="42" t="s">
        <v>1</v>
      </c>
    </row>
    <row r="121" spans="1:7" x14ac:dyDescent="0.25">
      <c r="A121" s="46"/>
      <c r="B121" s="46"/>
      <c r="C121" s="46"/>
      <c r="D121" s="42" t="s">
        <v>153</v>
      </c>
      <c r="E121" s="49">
        <v>6000000</v>
      </c>
      <c r="F121" s="42" t="s">
        <v>1</v>
      </c>
    </row>
    <row r="122" spans="1:7" x14ac:dyDescent="0.25">
      <c r="A122" s="46"/>
      <c r="B122" s="46"/>
      <c r="C122" s="46"/>
      <c r="D122" s="42" t="s">
        <v>154</v>
      </c>
      <c r="E122" s="49">
        <v>1500000</v>
      </c>
      <c r="F122" s="42" t="s">
        <v>1</v>
      </c>
    </row>
    <row r="123" spans="1:7" hidden="1" x14ac:dyDescent="0.25">
      <c r="A123" s="46"/>
      <c r="B123" s="46"/>
      <c r="C123" s="46"/>
      <c r="D123" s="42" t="s">
        <v>155</v>
      </c>
      <c r="E123" s="49">
        <v>0</v>
      </c>
      <c r="F123" s="42" t="s">
        <v>1</v>
      </c>
    </row>
    <row r="124" spans="1:7" hidden="1" x14ac:dyDescent="0.25">
      <c r="A124" s="46"/>
      <c r="B124" s="46"/>
      <c r="C124" s="46"/>
      <c r="D124" s="42" t="s">
        <v>129</v>
      </c>
      <c r="E124" s="49">
        <v>0</v>
      </c>
      <c r="F124" s="42" t="s">
        <v>9</v>
      </c>
    </row>
    <row r="125" spans="1:7" x14ac:dyDescent="0.25">
      <c r="A125" s="5">
        <v>1</v>
      </c>
      <c r="B125" s="5">
        <v>4</v>
      </c>
      <c r="C125" s="53" t="s">
        <v>109</v>
      </c>
      <c r="D125" s="5" t="s">
        <v>35</v>
      </c>
      <c r="E125" s="54">
        <f>SUM(E126:E130)</f>
        <v>1000000</v>
      </c>
      <c r="F125" s="5" t="s">
        <v>156</v>
      </c>
    </row>
    <row r="126" spans="1:7" hidden="1" x14ac:dyDescent="0.25">
      <c r="A126" s="46"/>
      <c r="B126" s="46"/>
      <c r="C126" s="46"/>
      <c r="D126" s="42" t="s">
        <v>157</v>
      </c>
      <c r="E126" s="51">
        <v>0</v>
      </c>
      <c r="F126" s="42" t="s">
        <v>0</v>
      </c>
      <c r="G126" s="173">
        <f>E126/12</f>
        <v>0</v>
      </c>
    </row>
    <row r="127" spans="1:7" hidden="1" x14ac:dyDescent="0.25">
      <c r="A127" s="46"/>
      <c r="B127" s="46"/>
      <c r="C127" s="46"/>
      <c r="D127" s="52" t="s">
        <v>158</v>
      </c>
      <c r="E127" s="50">
        <v>0</v>
      </c>
      <c r="F127" s="42" t="s">
        <v>6</v>
      </c>
    </row>
    <row r="128" spans="1:7" hidden="1" x14ac:dyDescent="0.25">
      <c r="A128" s="46"/>
      <c r="B128" s="46"/>
      <c r="C128" s="46"/>
      <c r="D128" s="42" t="s">
        <v>158</v>
      </c>
      <c r="E128" s="50">
        <v>0</v>
      </c>
      <c r="F128" s="42" t="s">
        <v>1</v>
      </c>
    </row>
    <row r="129" spans="1:8" x14ac:dyDescent="0.25">
      <c r="A129" s="46"/>
      <c r="B129" s="46"/>
      <c r="C129" s="46"/>
      <c r="D129" s="42" t="s">
        <v>128</v>
      </c>
      <c r="E129" s="50">
        <v>1000000</v>
      </c>
      <c r="F129" s="42" t="s">
        <v>2</v>
      </c>
    </row>
    <row r="130" spans="1:8" hidden="1" x14ac:dyDescent="0.25">
      <c r="A130" s="46"/>
      <c r="B130" s="46"/>
      <c r="C130" s="46"/>
      <c r="D130" s="42" t="s">
        <v>149</v>
      </c>
      <c r="E130" s="50">
        <v>0</v>
      </c>
      <c r="F130" s="42" t="s">
        <v>1</v>
      </c>
    </row>
    <row r="131" spans="1:8" ht="30" x14ac:dyDescent="0.25">
      <c r="A131" s="3">
        <v>1</v>
      </c>
      <c r="B131" s="3">
        <v>4</v>
      </c>
      <c r="C131" s="34" t="s">
        <v>159</v>
      </c>
      <c r="D131" s="2" t="s">
        <v>36</v>
      </c>
      <c r="E131" s="35">
        <f>SUM(E132:E133)</f>
        <v>2000000</v>
      </c>
      <c r="F131" s="3" t="s">
        <v>1</v>
      </c>
    </row>
    <row r="132" spans="1:8" x14ac:dyDescent="0.25">
      <c r="A132" s="46"/>
      <c r="B132" s="46"/>
      <c r="C132" s="46"/>
      <c r="D132" s="42" t="s">
        <v>128</v>
      </c>
      <c r="E132" s="50">
        <v>1000000</v>
      </c>
      <c r="F132" s="76"/>
    </row>
    <row r="133" spans="1:8" x14ac:dyDescent="0.25">
      <c r="A133" s="46"/>
      <c r="B133" s="46"/>
      <c r="C133" s="46"/>
      <c r="D133" s="42" t="s">
        <v>152</v>
      </c>
      <c r="E133" s="50">
        <v>1000000</v>
      </c>
      <c r="F133" s="76"/>
    </row>
    <row r="134" spans="1:8" x14ac:dyDescent="0.25">
      <c r="A134" s="5">
        <v>1</v>
      </c>
      <c r="B134" s="5">
        <v>4</v>
      </c>
      <c r="C134" s="53" t="s">
        <v>160</v>
      </c>
      <c r="D134" s="5" t="s">
        <v>37</v>
      </c>
      <c r="E134" s="54">
        <f>SUM(E135:E137)</f>
        <v>6600000</v>
      </c>
      <c r="F134" s="5" t="s">
        <v>0</v>
      </c>
    </row>
    <row r="135" spans="1:8" x14ac:dyDescent="0.25">
      <c r="A135" s="46"/>
      <c r="B135" s="46"/>
      <c r="C135" s="46"/>
      <c r="D135" s="46" t="s">
        <v>161</v>
      </c>
      <c r="E135" s="50">
        <f>550000*12</f>
        <v>6600000</v>
      </c>
      <c r="F135" s="46" t="s">
        <v>0</v>
      </c>
      <c r="G135" s="173">
        <f>E135/12</f>
        <v>550000</v>
      </c>
    </row>
    <row r="136" spans="1:8" hidden="1" x14ac:dyDescent="0.25">
      <c r="A136" s="46"/>
      <c r="B136" s="46"/>
      <c r="C136" s="46"/>
      <c r="D136" s="77" t="s">
        <v>162</v>
      </c>
      <c r="E136" s="49">
        <v>0</v>
      </c>
      <c r="F136" s="77"/>
    </row>
    <row r="137" spans="1:8" hidden="1" x14ac:dyDescent="0.25">
      <c r="A137" s="46"/>
      <c r="B137" s="46"/>
      <c r="C137" s="46"/>
      <c r="D137" s="46" t="s">
        <v>129</v>
      </c>
      <c r="E137" s="75">
        <v>0</v>
      </c>
      <c r="F137" s="46" t="s">
        <v>6</v>
      </c>
    </row>
    <row r="138" spans="1:8" ht="37.5" hidden="1" customHeight="1" x14ac:dyDescent="0.25">
      <c r="A138" s="3">
        <v>1</v>
      </c>
      <c r="B138" s="3">
        <v>4</v>
      </c>
      <c r="C138" s="34" t="s">
        <v>163</v>
      </c>
      <c r="D138" s="78" t="s">
        <v>164</v>
      </c>
      <c r="E138" s="35">
        <f>E139</f>
        <v>0</v>
      </c>
      <c r="F138" s="3"/>
    </row>
    <row r="139" spans="1:8" hidden="1" x14ac:dyDescent="0.25">
      <c r="A139" s="46"/>
      <c r="B139" s="46"/>
      <c r="C139" s="46"/>
      <c r="D139" s="46" t="s">
        <v>165</v>
      </c>
      <c r="E139" s="75"/>
      <c r="F139" s="46"/>
    </row>
    <row r="140" spans="1:8" hidden="1" x14ac:dyDescent="0.25">
      <c r="A140" s="46"/>
      <c r="B140" s="46"/>
      <c r="C140" s="46"/>
      <c r="D140" s="46"/>
      <c r="E140" s="75"/>
      <c r="F140" s="46"/>
    </row>
    <row r="141" spans="1:8" x14ac:dyDescent="0.25">
      <c r="A141" s="8">
        <v>1</v>
      </c>
      <c r="B141" s="8">
        <v>5</v>
      </c>
      <c r="C141" s="8"/>
      <c r="D141" s="10" t="s">
        <v>38</v>
      </c>
      <c r="E141" s="57">
        <f>E142+E145+E151</f>
        <v>17500000</v>
      </c>
      <c r="F141" s="8"/>
      <c r="H141">
        <v>800000</v>
      </c>
    </row>
    <row r="142" spans="1:8" ht="29.25" hidden="1" customHeight="1" x14ac:dyDescent="0.25">
      <c r="A142" s="3">
        <v>1</v>
      </c>
      <c r="B142" s="3">
        <v>5</v>
      </c>
      <c r="C142" s="34" t="s">
        <v>98</v>
      </c>
      <c r="D142" s="2" t="s">
        <v>39</v>
      </c>
      <c r="E142" s="35">
        <f>SUM(E143:E144)</f>
        <v>0</v>
      </c>
      <c r="F142" s="3" t="s">
        <v>1</v>
      </c>
    </row>
    <row r="143" spans="1:8" hidden="1" x14ac:dyDescent="0.25">
      <c r="A143" s="46"/>
      <c r="B143" s="46"/>
      <c r="C143" s="46"/>
      <c r="D143" s="42" t="s">
        <v>144</v>
      </c>
      <c r="E143" s="50">
        <v>0</v>
      </c>
      <c r="F143" s="42"/>
    </row>
    <row r="144" spans="1:8" hidden="1" x14ac:dyDescent="0.25">
      <c r="A144" s="46"/>
      <c r="B144" s="46"/>
      <c r="C144" s="46"/>
      <c r="D144" s="42" t="s">
        <v>166</v>
      </c>
      <c r="E144" s="50">
        <v>0</v>
      </c>
      <c r="F144" s="42"/>
    </row>
    <row r="145" spans="1:8" x14ac:dyDescent="0.25">
      <c r="A145" s="5">
        <v>1</v>
      </c>
      <c r="B145" s="5">
        <v>5</v>
      </c>
      <c r="C145" s="53" t="s">
        <v>125</v>
      </c>
      <c r="D145" s="79" t="s">
        <v>40</v>
      </c>
      <c r="E145" s="64">
        <f>SUM(E146:E150)</f>
        <v>17500000</v>
      </c>
      <c r="F145" s="63" t="s">
        <v>1</v>
      </c>
      <c r="H145">
        <v>700000</v>
      </c>
    </row>
    <row r="146" spans="1:8" x14ac:dyDescent="0.25">
      <c r="A146" s="5"/>
      <c r="B146" s="5"/>
      <c r="C146" s="53"/>
      <c r="D146" s="42" t="s">
        <v>547</v>
      </c>
      <c r="E146" s="50">
        <v>5000000</v>
      </c>
      <c r="F146" s="63"/>
      <c r="H146">
        <v>700000</v>
      </c>
    </row>
    <row r="147" spans="1:8" hidden="1" x14ac:dyDescent="0.25">
      <c r="A147" s="5"/>
      <c r="B147" s="5"/>
      <c r="C147" s="53"/>
      <c r="D147" s="42" t="s">
        <v>544</v>
      </c>
      <c r="E147" s="50">
        <v>0</v>
      </c>
      <c r="F147" s="63"/>
    </row>
    <row r="148" spans="1:8" hidden="1" x14ac:dyDescent="0.25">
      <c r="A148" s="5"/>
      <c r="B148" s="5"/>
      <c r="C148" s="53"/>
      <c r="D148" s="42" t="s">
        <v>545</v>
      </c>
      <c r="E148" s="50">
        <v>0</v>
      </c>
      <c r="F148" s="63"/>
    </row>
    <row r="149" spans="1:8" x14ac:dyDescent="0.25">
      <c r="A149" s="5"/>
      <c r="B149" s="5"/>
      <c r="C149" s="53"/>
      <c r="D149" s="42" t="s">
        <v>546</v>
      </c>
      <c r="E149" s="50">
        <v>10000000</v>
      </c>
      <c r="F149" s="63"/>
      <c r="H149">
        <f>600000*3</f>
        <v>1800000</v>
      </c>
    </row>
    <row r="150" spans="1:8" x14ac:dyDescent="0.25">
      <c r="A150" s="5"/>
      <c r="B150" s="5"/>
      <c r="C150" s="53"/>
      <c r="D150" s="42" t="s">
        <v>167</v>
      </c>
      <c r="E150" s="50">
        <v>2500000</v>
      </c>
      <c r="F150" s="42"/>
      <c r="H150">
        <f>500000*12</f>
        <v>6000000</v>
      </c>
    </row>
    <row r="151" spans="1:8" hidden="1" x14ac:dyDescent="0.25">
      <c r="A151" s="3">
        <v>1</v>
      </c>
      <c r="B151" s="81">
        <v>5</v>
      </c>
      <c r="C151" s="82" t="s">
        <v>159</v>
      </c>
      <c r="D151" s="83" t="s">
        <v>168</v>
      </c>
      <c r="E151" s="84">
        <f>E152</f>
        <v>0</v>
      </c>
      <c r="F151" s="81" t="s">
        <v>169</v>
      </c>
    </row>
    <row r="152" spans="1:8" hidden="1" x14ac:dyDescent="0.25">
      <c r="A152" s="46"/>
      <c r="B152" s="85"/>
      <c r="C152" s="85"/>
      <c r="D152" s="86" t="s">
        <v>170</v>
      </c>
      <c r="E152" s="87">
        <v>0</v>
      </c>
      <c r="F152" s="85"/>
    </row>
    <row r="153" spans="1:8" x14ac:dyDescent="0.25">
      <c r="A153" s="11">
        <v>2</v>
      </c>
      <c r="B153" s="11"/>
      <c r="C153" s="11"/>
      <c r="D153" s="11" t="s">
        <v>41</v>
      </c>
      <c r="E153" s="88">
        <f>E154+E197+E253+E282+E313+E320+E334+E339</f>
        <v>1224850000</v>
      </c>
      <c r="F153" s="11"/>
      <c r="H153">
        <f>SUM(H141:H150)</f>
        <v>10000000</v>
      </c>
    </row>
    <row r="154" spans="1:8" x14ac:dyDescent="0.25">
      <c r="A154" s="8">
        <v>2</v>
      </c>
      <c r="B154" s="8">
        <v>1</v>
      </c>
      <c r="C154" s="8"/>
      <c r="D154" s="10" t="s">
        <v>42</v>
      </c>
      <c r="E154" s="57">
        <f>E155+E163+E165+E168+E172+E179+E182+E189+E195</f>
        <v>116100000</v>
      </c>
      <c r="F154" s="8"/>
    </row>
    <row r="155" spans="1:8" ht="36" customHeight="1" x14ac:dyDescent="0.25">
      <c r="A155" s="3">
        <v>2</v>
      </c>
      <c r="B155" s="3">
        <v>1</v>
      </c>
      <c r="C155" s="34" t="s">
        <v>85</v>
      </c>
      <c r="D155" s="2" t="s">
        <v>43</v>
      </c>
      <c r="E155" s="35">
        <f>SUM(E156:E159)</f>
        <v>39600000</v>
      </c>
      <c r="F155" s="2" t="s">
        <v>3</v>
      </c>
    </row>
    <row r="156" spans="1:8" x14ac:dyDescent="0.25">
      <c r="A156" s="46"/>
      <c r="B156" s="46"/>
      <c r="C156" s="46"/>
      <c r="D156" s="42" t="s">
        <v>171</v>
      </c>
      <c r="E156" s="50">
        <f>1800000*12</f>
        <v>21600000</v>
      </c>
      <c r="F156" s="42" t="s">
        <v>3</v>
      </c>
      <c r="G156" s="173">
        <f>E156/12</f>
        <v>1800000</v>
      </c>
    </row>
    <row r="157" spans="1:8" x14ac:dyDescent="0.25">
      <c r="A157" s="46"/>
      <c r="B157" s="46"/>
      <c r="C157" s="46"/>
      <c r="D157" s="42" t="s">
        <v>172</v>
      </c>
      <c r="E157" s="50">
        <f>1300000*12</f>
        <v>15600000</v>
      </c>
      <c r="F157" s="42" t="s">
        <v>3</v>
      </c>
      <c r="G157" s="173">
        <f>E157/12</f>
        <v>1300000</v>
      </c>
    </row>
    <row r="158" spans="1:8" x14ac:dyDescent="0.25">
      <c r="A158" s="46"/>
      <c r="B158" s="46"/>
      <c r="C158" s="46"/>
      <c r="D158" s="42" t="s">
        <v>173</v>
      </c>
      <c r="E158" s="50">
        <v>1200000</v>
      </c>
      <c r="F158" s="42" t="s">
        <v>3</v>
      </c>
    </row>
    <row r="159" spans="1:8" x14ac:dyDescent="0.25">
      <c r="A159" s="46"/>
      <c r="B159" s="46"/>
      <c r="C159" s="46"/>
      <c r="D159" s="42" t="s">
        <v>174</v>
      </c>
      <c r="E159" s="50">
        <v>1200000</v>
      </c>
      <c r="F159" s="42" t="s">
        <v>3</v>
      </c>
    </row>
    <row r="160" spans="1:8" hidden="1" x14ac:dyDescent="0.25">
      <c r="A160" s="5">
        <v>2</v>
      </c>
      <c r="B160" s="5">
        <v>1</v>
      </c>
      <c r="C160" s="53" t="s">
        <v>89</v>
      </c>
      <c r="D160" s="5" t="s">
        <v>175</v>
      </c>
      <c r="E160" s="54"/>
      <c r="F160" s="5"/>
    </row>
    <row r="161" spans="1:6" hidden="1" x14ac:dyDescent="0.25">
      <c r="A161" s="5"/>
      <c r="B161" s="5"/>
      <c r="C161" s="53"/>
      <c r="D161" s="5"/>
      <c r="E161" s="54"/>
      <c r="F161" s="5"/>
    </row>
    <row r="162" spans="1:6" hidden="1" x14ac:dyDescent="0.25">
      <c r="A162" s="5"/>
      <c r="B162" s="5"/>
      <c r="C162" s="53"/>
      <c r="D162" s="5"/>
      <c r="E162" s="54"/>
      <c r="F162" s="5"/>
    </row>
    <row r="163" spans="1:6" hidden="1" x14ac:dyDescent="0.25">
      <c r="A163" s="89">
        <v>2</v>
      </c>
      <c r="B163" s="89">
        <v>1</v>
      </c>
      <c r="C163" s="90" t="s">
        <v>98</v>
      </c>
      <c r="D163" s="89" t="s">
        <v>176</v>
      </c>
      <c r="E163" s="91">
        <f>E164</f>
        <v>0</v>
      </c>
      <c r="F163" s="5" t="s">
        <v>3</v>
      </c>
    </row>
    <row r="164" spans="1:6" hidden="1" x14ac:dyDescent="0.25">
      <c r="A164" s="89"/>
      <c r="B164" s="89"/>
      <c r="C164" s="90"/>
      <c r="D164" s="48" t="s">
        <v>177</v>
      </c>
      <c r="E164" s="49">
        <v>0</v>
      </c>
      <c r="F164" s="5"/>
    </row>
    <row r="165" spans="1:6" ht="29.25" customHeight="1" x14ac:dyDescent="0.25">
      <c r="A165" s="3">
        <v>2</v>
      </c>
      <c r="B165" s="3">
        <v>1</v>
      </c>
      <c r="C165" s="34" t="s">
        <v>109</v>
      </c>
      <c r="D165" s="2" t="s">
        <v>44</v>
      </c>
      <c r="E165" s="35">
        <f>E166</f>
        <v>1000000</v>
      </c>
      <c r="F165" s="3" t="s">
        <v>1</v>
      </c>
    </row>
    <row r="166" spans="1:6" ht="18.75" customHeight="1" x14ac:dyDescent="0.25">
      <c r="A166" s="5"/>
      <c r="B166" s="5"/>
      <c r="C166" s="53"/>
      <c r="D166" s="71" t="s">
        <v>178</v>
      </c>
      <c r="E166" s="50">
        <v>1000000</v>
      </c>
      <c r="F166" s="92"/>
    </row>
    <row r="167" spans="1:6" hidden="1" x14ac:dyDescent="0.25">
      <c r="A167" s="5"/>
      <c r="B167" s="5"/>
      <c r="C167" s="53"/>
      <c r="D167" s="12"/>
      <c r="E167" s="54"/>
      <c r="F167" s="5"/>
    </row>
    <row r="168" spans="1:6" ht="30" x14ac:dyDescent="0.25">
      <c r="A168" s="3">
        <v>2</v>
      </c>
      <c r="B168" s="3">
        <v>1</v>
      </c>
      <c r="C168" s="34" t="s">
        <v>122</v>
      </c>
      <c r="D168" s="2" t="s">
        <v>45</v>
      </c>
      <c r="E168" s="35">
        <f>E169</f>
        <v>1000000</v>
      </c>
      <c r="F168" s="3" t="s">
        <v>9</v>
      </c>
    </row>
    <row r="169" spans="1:6" x14ac:dyDescent="0.25">
      <c r="A169" s="3"/>
      <c r="B169" s="3"/>
      <c r="C169" s="34"/>
      <c r="D169" s="43" t="s">
        <v>179</v>
      </c>
      <c r="E169" s="37">
        <v>1000000</v>
      </c>
      <c r="F169" s="36" t="s">
        <v>9</v>
      </c>
    </row>
    <row r="170" spans="1:6" hidden="1" x14ac:dyDescent="0.25">
      <c r="A170" s="3"/>
      <c r="B170" s="3"/>
      <c r="C170" s="34"/>
      <c r="D170" s="43" t="s">
        <v>180</v>
      </c>
      <c r="E170" s="37">
        <v>0</v>
      </c>
      <c r="F170" s="36"/>
    </row>
    <row r="171" spans="1:6" hidden="1" x14ac:dyDescent="0.25">
      <c r="A171" s="3"/>
      <c r="B171" s="3"/>
      <c r="C171" s="34"/>
      <c r="D171" s="43" t="s">
        <v>181</v>
      </c>
      <c r="E171" s="37">
        <v>0</v>
      </c>
      <c r="F171" s="36"/>
    </row>
    <row r="172" spans="1:6" s="185" customFormat="1" ht="45" x14ac:dyDescent="0.25">
      <c r="A172" s="3">
        <v>2</v>
      </c>
      <c r="B172" s="3">
        <v>1</v>
      </c>
      <c r="C172" s="34" t="s">
        <v>125</v>
      </c>
      <c r="D172" s="2" t="s">
        <v>182</v>
      </c>
      <c r="E172" s="35">
        <f>SUM(E173:E178)</f>
        <v>5000000</v>
      </c>
      <c r="F172" s="3" t="s">
        <v>3</v>
      </c>
    </row>
    <row r="173" spans="1:6" x14ac:dyDescent="0.25">
      <c r="A173" s="3"/>
      <c r="B173" s="3"/>
      <c r="C173" s="34"/>
      <c r="D173" s="43" t="s">
        <v>562</v>
      </c>
      <c r="E173" s="37">
        <v>5000000</v>
      </c>
      <c r="F173" s="36"/>
    </row>
    <row r="174" spans="1:6" hidden="1" x14ac:dyDescent="0.25">
      <c r="A174" s="3"/>
      <c r="B174" s="3"/>
      <c r="C174" s="34"/>
      <c r="D174" s="43" t="s">
        <v>184</v>
      </c>
      <c r="E174" s="37">
        <v>0</v>
      </c>
      <c r="F174" s="36"/>
    </row>
    <row r="175" spans="1:6" hidden="1" x14ac:dyDescent="0.25">
      <c r="A175" s="3"/>
      <c r="B175" s="3"/>
      <c r="C175" s="34"/>
      <c r="D175" s="43" t="s">
        <v>185</v>
      </c>
      <c r="E175" s="37"/>
      <c r="F175" s="36"/>
    </row>
    <row r="176" spans="1:6" hidden="1" x14ac:dyDescent="0.25">
      <c r="A176" s="3"/>
      <c r="B176" s="3"/>
      <c r="C176" s="34"/>
      <c r="D176" s="43" t="s">
        <v>186</v>
      </c>
      <c r="E176" s="37"/>
      <c r="F176" s="36"/>
    </row>
    <row r="177" spans="1:9" hidden="1" x14ac:dyDescent="0.25">
      <c r="A177" s="3"/>
      <c r="B177" s="3"/>
      <c r="C177" s="34"/>
      <c r="D177" s="43" t="s">
        <v>187</v>
      </c>
      <c r="E177" s="37"/>
      <c r="F177" s="36"/>
    </row>
    <row r="178" spans="1:9" hidden="1" x14ac:dyDescent="0.25">
      <c r="A178" s="3"/>
      <c r="B178" s="3"/>
      <c r="C178" s="34"/>
      <c r="D178" s="43" t="s">
        <v>408</v>
      </c>
      <c r="E178" s="37">
        <v>0</v>
      </c>
      <c r="F178" s="76"/>
    </row>
    <row r="179" spans="1:9" s="185" customFormat="1" ht="30" hidden="1" x14ac:dyDescent="0.25">
      <c r="A179" s="3">
        <v>2</v>
      </c>
      <c r="B179" s="3">
        <v>1</v>
      </c>
      <c r="C179" s="34" t="s">
        <v>159</v>
      </c>
      <c r="D179" s="2" t="s">
        <v>188</v>
      </c>
      <c r="E179" s="35">
        <f>SUM(E180:E181)</f>
        <v>0</v>
      </c>
      <c r="F179" s="3" t="s">
        <v>3</v>
      </c>
    </row>
    <row r="180" spans="1:9" hidden="1" x14ac:dyDescent="0.25">
      <c r="A180" s="3"/>
      <c r="B180" s="3"/>
      <c r="C180" s="34"/>
      <c r="D180" s="43" t="s">
        <v>189</v>
      </c>
      <c r="E180" s="37">
        <v>0</v>
      </c>
      <c r="F180" s="3"/>
    </row>
    <row r="181" spans="1:9" hidden="1" x14ac:dyDescent="0.25">
      <c r="A181" s="3"/>
      <c r="B181" s="3"/>
      <c r="C181" s="34"/>
      <c r="D181" s="43" t="s">
        <v>190</v>
      </c>
      <c r="E181" s="37">
        <v>0</v>
      </c>
      <c r="F181" s="3"/>
    </row>
    <row r="182" spans="1:9" x14ac:dyDescent="0.25">
      <c r="A182" s="5">
        <v>2</v>
      </c>
      <c r="B182" s="5">
        <v>1</v>
      </c>
      <c r="C182" s="53" t="s">
        <v>160</v>
      </c>
      <c r="D182" s="12" t="s">
        <v>46</v>
      </c>
      <c r="E182" s="54">
        <f>E183+E185+E186+E187+E188</f>
        <v>44500000</v>
      </c>
      <c r="F182" s="5" t="s">
        <v>3</v>
      </c>
    </row>
    <row r="183" spans="1:9" x14ac:dyDescent="0.25">
      <c r="A183" s="5"/>
      <c r="B183" s="5"/>
      <c r="C183" s="53"/>
      <c r="D183" s="71" t="s">
        <v>191</v>
      </c>
      <c r="E183" s="50">
        <v>36000000</v>
      </c>
      <c r="F183" s="5"/>
      <c r="H183" s="173">
        <f>E183/12</f>
        <v>3000000</v>
      </c>
      <c r="I183" s="173">
        <f>H183/2</f>
        <v>1500000</v>
      </c>
    </row>
    <row r="184" spans="1:9" hidden="1" x14ac:dyDescent="0.25">
      <c r="A184" s="5"/>
      <c r="B184" s="5"/>
      <c r="C184" s="53"/>
      <c r="D184" s="71" t="s">
        <v>192</v>
      </c>
      <c r="E184" s="50">
        <v>0</v>
      </c>
      <c r="F184" s="5"/>
    </row>
    <row r="185" spans="1:9" x14ac:dyDescent="0.25">
      <c r="A185" s="5"/>
      <c r="B185" s="5"/>
      <c r="C185" s="53"/>
      <c r="D185" s="71" t="s">
        <v>149</v>
      </c>
      <c r="E185" s="50">
        <v>2000000</v>
      </c>
      <c r="F185" s="5"/>
    </row>
    <row r="186" spans="1:9" ht="12.75" customHeight="1" x14ac:dyDescent="0.25">
      <c r="A186" s="5"/>
      <c r="B186" s="5"/>
      <c r="C186" s="53"/>
      <c r="D186" s="71" t="s">
        <v>193</v>
      </c>
      <c r="E186" s="50">
        <v>500000</v>
      </c>
      <c r="F186" s="5"/>
    </row>
    <row r="187" spans="1:9" x14ac:dyDescent="0.25">
      <c r="A187" s="5"/>
      <c r="B187" s="5"/>
      <c r="C187" s="53"/>
      <c r="D187" s="71" t="s">
        <v>194</v>
      </c>
      <c r="E187" s="50">
        <v>3000000</v>
      </c>
      <c r="F187" s="5"/>
      <c r="H187" s="173">
        <f>E187/12</f>
        <v>250000</v>
      </c>
    </row>
    <row r="188" spans="1:9" x14ac:dyDescent="0.25">
      <c r="A188" s="5"/>
      <c r="B188" s="5"/>
      <c r="C188" s="53"/>
      <c r="D188" s="71" t="s">
        <v>195</v>
      </c>
      <c r="E188" s="50">
        <v>3000000</v>
      </c>
      <c r="F188" s="5"/>
      <c r="H188" s="173">
        <f>E188/12</f>
        <v>250000</v>
      </c>
    </row>
    <row r="189" spans="1:9" x14ac:dyDescent="0.25">
      <c r="A189" s="5">
        <v>2</v>
      </c>
      <c r="B189" s="5">
        <v>1</v>
      </c>
      <c r="C189" s="53" t="s">
        <v>196</v>
      </c>
      <c r="D189" s="12" t="s">
        <v>197</v>
      </c>
      <c r="E189" s="54">
        <f>SUM(E190:E192)</f>
        <v>15000000</v>
      </c>
      <c r="F189" s="5" t="s">
        <v>3</v>
      </c>
    </row>
    <row r="190" spans="1:9" x14ac:dyDescent="0.25">
      <c r="A190" s="5"/>
      <c r="B190" s="5"/>
      <c r="C190" s="53"/>
      <c r="D190" s="71" t="s">
        <v>548</v>
      </c>
      <c r="E190" s="50">
        <v>5000000</v>
      </c>
      <c r="F190" s="42"/>
    </row>
    <row r="191" spans="1:9" x14ac:dyDescent="0.25">
      <c r="A191" s="5"/>
      <c r="B191" s="5"/>
      <c r="C191" s="53"/>
      <c r="D191" s="71" t="s">
        <v>549</v>
      </c>
      <c r="E191" s="50">
        <v>5000000</v>
      </c>
      <c r="F191" s="42"/>
    </row>
    <row r="192" spans="1:9" x14ac:dyDescent="0.25">
      <c r="A192" s="5"/>
      <c r="B192" s="5"/>
      <c r="C192" s="53"/>
      <c r="D192" s="71" t="s">
        <v>550</v>
      </c>
      <c r="E192" s="50">
        <v>5000000</v>
      </c>
      <c r="F192" s="42"/>
    </row>
    <row r="193" spans="1:8" hidden="1" x14ac:dyDescent="0.25">
      <c r="A193" s="5"/>
      <c r="B193" s="5"/>
      <c r="C193" s="53"/>
      <c r="D193" s="71"/>
      <c r="E193" s="54"/>
      <c r="F193" s="5"/>
    </row>
    <row r="194" spans="1:8" hidden="1" x14ac:dyDescent="0.25">
      <c r="A194" s="5"/>
      <c r="B194" s="5"/>
      <c r="C194" s="53"/>
      <c r="D194" s="71" t="s">
        <v>198</v>
      </c>
      <c r="E194" s="50">
        <v>0</v>
      </c>
      <c r="F194" s="5"/>
    </row>
    <row r="195" spans="1:8" x14ac:dyDescent="0.25">
      <c r="A195" s="5">
        <v>2</v>
      </c>
      <c r="B195" s="5">
        <v>1</v>
      </c>
      <c r="C195" s="53" t="s">
        <v>199</v>
      </c>
      <c r="D195" s="12" t="s">
        <v>200</v>
      </c>
      <c r="E195" s="54">
        <f>E196</f>
        <v>10000000</v>
      </c>
      <c r="F195" s="5" t="s">
        <v>3</v>
      </c>
    </row>
    <row r="196" spans="1:8" x14ac:dyDescent="0.25">
      <c r="A196" s="5"/>
      <c r="B196" s="5"/>
      <c r="C196" s="53"/>
      <c r="D196" s="71" t="s">
        <v>201</v>
      </c>
      <c r="E196" s="50">
        <v>10000000</v>
      </c>
      <c r="F196" s="5"/>
      <c r="H196" s="173">
        <f>E196/500000</f>
        <v>20</v>
      </c>
    </row>
    <row r="197" spans="1:8" x14ac:dyDescent="0.25">
      <c r="A197" s="8">
        <v>2</v>
      </c>
      <c r="B197" s="8">
        <v>2</v>
      </c>
      <c r="C197" s="8"/>
      <c r="D197" s="6" t="s">
        <v>47</v>
      </c>
      <c r="E197" s="57">
        <f>E198+E202+E209+E212+E244+E246+E248</f>
        <v>208000000</v>
      </c>
      <c r="F197" s="8" t="s">
        <v>3</v>
      </c>
    </row>
    <row r="198" spans="1:8" x14ac:dyDescent="0.25">
      <c r="A198" s="5">
        <v>2</v>
      </c>
      <c r="B198" s="5">
        <v>2</v>
      </c>
      <c r="C198" s="53" t="s">
        <v>85</v>
      </c>
      <c r="D198" s="12" t="s">
        <v>202</v>
      </c>
      <c r="E198" s="54">
        <f>SUM(E199:E201)</f>
        <v>21600000</v>
      </c>
      <c r="F198" s="5" t="s">
        <v>3</v>
      </c>
    </row>
    <row r="199" spans="1:8" hidden="1" x14ac:dyDescent="0.25">
      <c r="A199" s="46"/>
      <c r="B199" s="46"/>
      <c r="C199" s="46"/>
      <c r="D199" s="71" t="s">
        <v>203</v>
      </c>
      <c r="E199" s="51">
        <v>0</v>
      </c>
      <c r="F199" s="42"/>
    </row>
    <row r="200" spans="1:8" hidden="1" x14ac:dyDescent="0.25">
      <c r="A200" s="46"/>
      <c r="B200" s="46"/>
      <c r="C200" s="46"/>
      <c r="D200" s="71" t="s">
        <v>204</v>
      </c>
      <c r="E200" s="51">
        <v>0</v>
      </c>
      <c r="F200" s="42"/>
    </row>
    <row r="201" spans="1:8" x14ac:dyDescent="0.25">
      <c r="A201" s="46"/>
      <c r="B201" s="46"/>
      <c r="C201" s="46"/>
      <c r="D201" s="71" t="s">
        <v>205</v>
      </c>
      <c r="E201" s="50">
        <f>1800000*12</f>
        <v>21600000</v>
      </c>
      <c r="F201" s="42"/>
      <c r="H201" s="173">
        <f>E201/12</f>
        <v>1800000</v>
      </c>
    </row>
    <row r="202" spans="1:8" x14ac:dyDescent="0.25">
      <c r="A202" s="5">
        <v>2</v>
      </c>
      <c r="B202" s="5">
        <v>2</v>
      </c>
      <c r="C202" s="53" t="s">
        <v>89</v>
      </c>
      <c r="D202" s="12" t="s">
        <v>48</v>
      </c>
      <c r="E202" s="54">
        <f>SUM(E203:E208)</f>
        <v>141600000</v>
      </c>
      <c r="F202" s="5" t="s">
        <v>3</v>
      </c>
    </row>
    <row r="203" spans="1:8" x14ac:dyDescent="0.25">
      <c r="A203" s="46"/>
      <c r="B203" s="46"/>
      <c r="C203" s="46"/>
      <c r="D203" s="71" t="s">
        <v>206</v>
      </c>
      <c r="E203" s="50">
        <v>40000000</v>
      </c>
      <c r="F203" s="42" t="s">
        <v>3</v>
      </c>
    </row>
    <row r="204" spans="1:8" x14ac:dyDescent="0.25">
      <c r="A204" s="46"/>
      <c r="B204" s="46"/>
      <c r="C204" s="46"/>
      <c r="D204" s="71" t="s">
        <v>402</v>
      </c>
      <c r="E204" s="50">
        <v>24000000</v>
      </c>
      <c r="F204" s="42" t="s">
        <v>3</v>
      </c>
      <c r="H204">
        <f>200000*10*12</f>
        <v>24000000</v>
      </c>
    </row>
    <row r="205" spans="1:8" hidden="1" x14ac:dyDescent="0.25">
      <c r="A205" s="97"/>
      <c r="B205" s="97"/>
      <c r="C205" s="97"/>
      <c r="D205" s="43" t="s">
        <v>207</v>
      </c>
      <c r="E205" s="37">
        <v>0</v>
      </c>
      <c r="F205" s="36" t="s">
        <v>3</v>
      </c>
    </row>
    <row r="206" spans="1:8" x14ac:dyDescent="0.25">
      <c r="A206" s="46"/>
      <c r="B206" s="46"/>
      <c r="C206" s="46"/>
      <c r="D206" s="98" t="s">
        <v>209</v>
      </c>
      <c r="E206" s="50">
        <v>2000000</v>
      </c>
      <c r="F206" s="42"/>
    </row>
    <row r="207" spans="1:8" x14ac:dyDescent="0.25">
      <c r="A207" s="46"/>
      <c r="B207" s="46"/>
      <c r="C207" s="46"/>
      <c r="D207" s="98" t="s">
        <v>210</v>
      </c>
      <c r="E207" s="50">
        <v>9600000</v>
      </c>
      <c r="F207" s="42" t="s">
        <v>3</v>
      </c>
    </row>
    <row r="208" spans="1:8" ht="16.5" customHeight="1" x14ac:dyDescent="0.25">
      <c r="A208" s="46"/>
      <c r="B208" s="46"/>
      <c r="C208" s="46"/>
      <c r="D208" s="71" t="s">
        <v>211</v>
      </c>
      <c r="E208" s="50">
        <f>110000*50*12</f>
        <v>66000000</v>
      </c>
      <c r="F208" s="42" t="s">
        <v>3</v>
      </c>
      <c r="H208" s="173">
        <f>E208/12/50</f>
        <v>110000</v>
      </c>
    </row>
    <row r="209" spans="1:6" x14ac:dyDescent="0.25">
      <c r="A209" s="5">
        <v>2</v>
      </c>
      <c r="B209" s="5">
        <v>2</v>
      </c>
      <c r="C209" s="53" t="s">
        <v>98</v>
      </c>
      <c r="D209" s="12" t="s">
        <v>49</v>
      </c>
      <c r="E209" s="54">
        <f>SUM(E210:E211)</f>
        <v>4000000</v>
      </c>
      <c r="F209" s="5" t="s">
        <v>3</v>
      </c>
    </row>
    <row r="210" spans="1:6" x14ac:dyDescent="0.25">
      <c r="A210" s="5"/>
      <c r="B210" s="5"/>
      <c r="C210" s="53"/>
      <c r="D210" s="71" t="s">
        <v>212</v>
      </c>
      <c r="E210" s="50">
        <v>2000000</v>
      </c>
      <c r="F210" s="42"/>
    </row>
    <row r="211" spans="1:6" x14ac:dyDescent="0.25">
      <c r="A211" s="5"/>
      <c r="B211" s="5"/>
      <c r="C211" s="53"/>
      <c r="D211" s="71" t="s">
        <v>213</v>
      </c>
      <c r="E211" s="50">
        <v>2000000</v>
      </c>
      <c r="F211" s="42"/>
    </row>
    <row r="212" spans="1:6" x14ac:dyDescent="0.25">
      <c r="A212" s="5">
        <v>2</v>
      </c>
      <c r="B212" s="5">
        <v>2</v>
      </c>
      <c r="C212" s="53" t="s">
        <v>109</v>
      </c>
      <c r="D212" s="12" t="s">
        <v>50</v>
      </c>
      <c r="E212" s="54">
        <f>E213+E219+E223+E224+E225+E226+E227+E232+E235+E239+E240+E241</f>
        <v>18000000</v>
      </c>
      <c r="F212" s="5" t="s">
        <v>3</v>
      </c>
    </row>
    <row r="213" spans="1:6" ht="30" x14ac:dyDescent="0.25">
      <c r="A213" s="5"/>
      <c r="B213" s="3"/>
      <c r="C213" s="34"/>
      <c r="D213" s="99" t="s">
        <v>554</v>
      </c>
      <c r="E213" s="100">
        <f>SUM(E214:E218)</f>
        <v>18000000</v>
      </c>
      <c r="F213" s="76" t="s">
        <v>3</v>
      </c>
    </row>
    <row r="214" spans="1:6" x14ac:dyDescent="0.25">
      <c r="A214" s="5"/>
      <c r="B214" s="3"/>
      <c r="C214" s="34"/>
      <c r="D214" s="101" t="s">
        <v>215</v>
      </c>
      <c r="E214" s="37">
        <v>2000000</v>
      </c>
      <c r="F214" s="36" t="s">
        <v>3</v>
      </c>
    </row>
    <row r="215" spans="1:6" x14ac:dyDescent="0.25">
      <c r="A215" s="5"/>
      <c r="B215" s="3"/>
      <c r="C215" s="34"/>
      <c r="D215" s="101" t="s">
        <v>551</v>
      </c>
      <c r="E215" s="37">
        <v>1000000</v>
      </c>
      <c r="F215" s="36" t="s">
        <v>3</v>
      </c>
    </row>
    <row r="216" spans="1:6" x14ac:dyDescent="0.25">
      <c r="A216" s="5"/>
      <c r="B216" s="3"/>
      <c r="C216" s="34"/>
      <c r="D216" s="101" t="s">
        <v>552</v>
      </c>
      <c r="E216" s="37">
        <v>2000000</v>
      </c>
      <c r="F216" s="36"/>
    </row>
    <row r="217" spans="1:6" x14ac:dyDescent="0.25">
      <c r="A217" s="5"/>
      <c r="B217" s="3"/>
      <c r="C217" s="34"/>
      <c r="D217" s="101" t="s">
        <v>553</v>
      </c>
      <c r="E217" s="37">
        <v>3000000</v>
      </c>
      <c r="F217" s="36"/>
    </row>
    <row r="218" spans="1:6" x14ac:dyDescent="0.25">
      <c r="A218" s="5"/>
      <c r="B218" s="3"/>
      <c r="C218" s="34"/>
      <c r="D218" s="101" t="s">
        <v>217</v>
      </c>
      <c r="E218" s="37">
        <v>10000000</v>
      </c>
      <c r="F218" s="36" t="s">
        <v>3</v>
      </c>
    </row>
    <row r="219" spans="1:6" hidden="1" x14ac:dyDescent="0.25">
      <c r="A219" s="5"/>
      <c r="B219" s="3"/>
      <c r="C219" s="34"/>
      <c r="D219" s="102" t="s">
        <v>218</v>
      </c>
      <c r="E219" s="100"/>
      <c r="F219" s="76" t="s">
        <v>3</v>
      </c>
    </row>
    <row r="220" spans="1:6" hidden="1" x14ac:dyDescent="0.25">
      <c r="A220" s="5"/>
      <c r="B220" s="3"/>
      <c r="C220" s="34"/>
      <c r="D220" s="101" t="s">
        <v>219</v>
      </c>
      <c r="E220" s="37"/>
      <c r="F220" s="36" t="s">
        <v>3</v>
      </c>
    </row>
    <row r="221" spans="1:6" hidden="1" x14ac:dyDescent="0.25">
      <c r="A221" s="5"/>
      <c r="B221" s="3"/>
      <c r="C221" s="34"/>
      <c r="D221" s="101" t="s">
        <v>220</v>
      </c>
      <c r="E221" s="37"/>
      <c r="F221" s="36" t="s">
        <v>3</v>
      </c>
    </row>
    <row r="222" spans="1:6" hidden="1" x14ac:dyDescent="0.25">
      <c r="A222" s="5"/>
      <c r="B222" s="3"/>
      <c r="C222" s="34"/>
      <c r="D222" s="101" t="s">
        <v>221</v>
      </c>
      <c r="E222" s="37"/>
      <c r="F222" s="36" t="s">
        <v>3</v>
      </c>
    </row>
    <row r="223" spans="1:6" hidden="1" x14ac:dyDescent="0.25">
      <c r="A223" s="5"/>
      <c r="B223" s="3"/>
      <c r="C223" s="34"/>
      <c r="D223" s="102" t="s">
        <v>222</v>
      </c>
      <c r="E223" s="100"/>
      <c r="F223" s="76" t="s">
        <v>3</v>
      </c>
    </row>
    <row r="224" spans="1:6" hidden="1" x14ac:dyDescent="0.25">
      <c r="A224" s="5"/>
      <c r="B224" s="3"/>
      <c r="C224" s="34"/>
      <c r="D224" s="102" t="s">
        <v>223</v>
      </c>
      <c r="E224" s="100"/>
      <c r="F224" s="76" t="s">
        <v>3</v>
      </c>
    </row>
    <row r="225" spans="1:6" hidden="1" x14ac:dyDescent="0.25">
      <c r="A225" s="5"/>
      <c r="B225" s="3"/>
      <c r="C225" s="34"/>
      <c r="D225" s="102" t="s">
        <v>224</v>
      </c>
      <c r="E225" s="100"/>
      <c r="F225" s="76" t="s">
        <v>3</v>
      </c>
    </row>
    <row r="226" spans="1:6" hidden="1" x14ac:dyDescent="0.25">
      <c r="A226" s="5"/>
      <c r="B226" s="3"/>
      <c r="C226" s="34"/>
      <c r="D226" s="102" t="s">
        <v>225</v>
      </c>
      <c r="E226" s="100"/>
      <c r="F226" s="76" t="s">
        <v>3</v>
      </c>
    </row>
    <row r="227" spans="1:6" hidden="1" x14ac:dyDescent="0.25">
      <c r="A227" s="5"/>
      <c r="B227" s="3"/>
      <c r="C227" s="34"/>
      <c r="D227" s="102" t="s">
        <v>226</v>
      </c>
      <c r="E227" s="100"/>
      <c r="F227" s="76" t="s">
        <v>3</v>
      </c>
    </row>
    <row r="228" spans="1:6" hidden="1" x14ac:dyDescent="0.25">
      <c r="A228" s="5"/>
      <c r="B228" s="3"/>
      <c r="C228" s="34"/>
      <c r="D228" s="101" t="s">
        <v>227</v>
      </c>
      <c r="E228" s="37"/>
      <c r="F228" s="36" t="s">
        <v>3</v>
      </c>
    </row>
    <row r="229" spans="1:6" hidden="1" x14ac:dyDescent="0.25">
      <c r="A229" s="5"/>
      <c r="B229" s="3"/>
      <c r="C229" s="34"/>
      <c r="D229" s="101" t="s">
        <v>228</v>
      </c>
      <c r="E229" s="37"/>
      <c r="F229" s="36" t="s">
        <v>3</v>
      </c>
    </row>
    <row r="230" spans="1:6" hidden="1" x14ac:dyDescent="0.25">
      <c r="A230" s="5"/>
      <c r="B230" s="3"/>
      <c r="C230" s="34"/>
      <c r="D230" s="101" t="s">
        <v>229</v>
      </c>
      <c r="E230" s="37"/>
      <c r="F230" s="36" t="s">
        <v>3</v>
      </c>
    </row>
    <row r="231" spans="1:6" hidden="1" x14ac:dyDescent="0.25">
      <c r="A231" s="53"/>
      <c r="B231" s="3"/>
      <c r="C231" s="34"/>
      <c r="D231" s="101" t="s">
        <v>230</v>
      </c>
      <c r="E231" s="37"/>
      <c r="F231" s="36" t="s">
        <v>3</v>
      </c>
    </row>
    <row r="232" spans="1:6" ht="30" hidden="1" x14ac:dyDescent="0.25">
      <c r="A232" s="53"/>
      <c r="B232" s="3"/>
      <c r="C232" s="34"/>
      <c r="D232" s="102" t="s">
        <v>231</v>
      </c>
      <c r="E232" s="100"/>
      <c r="F232" s="76" t="s">
        <v>3</v>
      </c>
    </row>
    <row r="233" spans="1:6" hidden="1" x14ac:dyDescent="0.25">
      <c r="A233" s="53"/>
      <c r="B233" s="3"/>
      <c r="C233" s="34"/>
      <c r="D233" s="101" t="s">
        <v>232</v>
      </c>
      <c r="E233" s="37"/>
      <c r="F233" s="36" t="s">
        <v>3</v>
      </c>
    </row>
    <row r="234" spans="1:6" hidden="1" x14ac:dyDescent="0.25">
      <c r="A234" s="53"/>
      <c r="B234" s="3"/>
      <c r="C234" s="34"/>
      <c r="D234" s="101" t="s">
        <v>233</v>
      </c>
      <c r="E234" s="37"/>
      <c r="F234" s="36" t="s">
        <v>3</v>
      </c>
    </row>
    <row r="235" spans="1:6" hidden="1" x14ac:dyDescent="0.25">
      <c r="A235" s="5"/>
      <c r="B235" s="3"/>
      <c r="C235" s="34"/>
      <c r="D235" s="99" t="s">
        <v>234</v>
      </c>
      <c r="E235" s="100"/>
      <c r="F235" s="76" t="s">
        <v>3</v>
      </c>
    </row>
    <row r="236" spans="1:6" hidden="1" x14ac:dyDescent="0.25">
      <c r="A236" s="53"/>
      <c r="B236" s="3"/>
      <c r="C236" s="34"/>
      <c r="D236" s="101" t="s">
        <v>209</v>
      </c>
      <c r="E236" s="37"/>
      <c r="F236" s="36" t="s">
        <v>3</v>
      </c>
    </row>
    <row r="237" spans="1:6" hidden="1" x14ac:dyDescent="0.25">
      <c r="A237" s="53"/>
      <c r="B237" s="3"/>
      <c r="C237" s="34"/>
      <c r="D237" s="101" t="s">
        <v>235</v>
      </c>
      <c r="E237" s="37"/>
      <c r="F237" s="36" t="s">
        <v>3</v>
      </c>
    </row>
    <row r="238" spans="1:6" hidden="1" x14ac:dyDescent="0.25">
      <c r="A238" s="5"/>
      <c r="B238" s="3"/>
      <c r="C238" s="34"/>
      <c r="D238" s="101" t="s">
        <v>236</v>
      </c>
      <c r="E238" s="37"/>
      <c r="F238" s="36" t="s">
        <v>3</v>
      </c>
    </row>
    <row r="239" spans="1:6" ht="30" hidden="1" x14ac:dyDescent="0.25">
      <c r="A239" s="5"/>
      <c r="B239" s="3"/>
      <c r="C239" s="34"/>
      <c r="D239" s="102" t="s">
        <v>237</v>
      </c>
      <c r="E239" s="100"/>
      <c r="F239" s="76" t="s">
        <v>3</v>
      </c>
    </row>
    <row r="240" spans="1:6" ht="30" hidden="1" x14ac:dyDescent="0.25">
      <c r="A240" s="5"/>
      <c r="B240" s="3"/>
      <c r="C240" s="34"/>
      <c r="D240" s="102" t="s">
        <v>238</v>
      </c>
      <c r="E240" s="100"/>
      <c r="F240" s="76" t="s">
        <v>3</v>
      </c>
    </row>
    <row r="241" spans="1:9" hidden="1" x14ac:dyDescent="0.25">
      <c r="A241" s="5"/>
      <c r="B241" s="3"/>
      <c r="C241" s="34"/>
      <c r="D241" s="99" t="s">
        <v>239</v>
      </c>
      <c r="E241" s="100">
        <f>SUM(E242:E243)</f>
        <v>0</v>
      </c>
      <c r="F241" s="76" t="s">
        <v>3</v>
      </c>
    </row>
    <row r="242" spans="1:9" hidden="1" x14ac:dyDescent="0.25">
      <c r="A242" s="5"/>
      <c r="B242" s="5"/>
      <c r="C242" s="53"/>
      <c r="D242" s="71" t="s">
        <v>212</v>
      </c>
      <c r="E242" s="50">
        <v>0</v>
      </c>
      <c r="F242" s="42" t="s">
        <v>3</v>
      </c>
    </row>
    <row r="243" spans="1:9" hidden="1" x14ac:dyDescent="0.25">
      <c r="A243" s="5"/>
      <c r="B243" s="5"/>
      <c r="C243" s="53"/>
      <c r="D243" s="71" t="s">
        <v>210</v>
      </c>
      <c r="E243" s="50">
        <v>0</v>
      </c>
      <c r="F243" s="42" t="s">
        <v>3</v>
      </c>
    </row>
    <row r="244" spans="1:9" x14ac:dyDescent="0.25">
      <c r="A244" s="5">
        <v>2</v>
      </c>
      <c r="B244" s="5">
        <v>2</v>
      </c>
      <c r="C244" s="53" t="s">
        <v>125</v>
      </c>
      <c r="D244" s="12" t="s">
        <v>51</v>
      </c>
      <c r="E244" s="54">
        <f>E245</f>
        <v>19800000</v>
      </c>
      <c r="F244" s="5" t="s">
        <v>3</v>
      </c>
    </row>
    <row r="245" spans="1:9" x14ac:dyDescent="0.25">
      <c r="A245" s="46"/>
      <c r="B245" s="46"/>
      <c r="C245" s="46"/>
      <c r="D245" s="71" t="s">
        <v>240</v>
      </c>
      <c r="E245" s="50">
        <f>110000*15*12</f>
        <v>19800000</v>
      </c>
      <c r="F245" s="42" t="s">
        <v>3</v>
      </c>
      <c r="H245" s="173">
        <f>E245/15/12</f>
        <v>110000</v>
      </c>
      <c r="I245" s="173">
        <f>H245*12</f>
        <v>1320000</v>
      </c>
    </row>
    <row r="246" spans="1:9" x14ac:dyDescent="0.25">
      <c r="A246" s="5">
        <v>2</v>
      </c>
      <c r="B246" s="5">
        <v>2</v>
      </c>
      <c r="C246" s="53" t="s">
        <v>160</v>
      </c>
      <c r="D246" s="12" t="s">
        <v>241</v>
      </c>
      <c r="E246" s="54">
        <f>E247</f>
        <v>1000000</v>
      </c>
      <c r="F246" s="5" t="s">
        <v>3</v>
      </c>
      <c r="I246" s="173">
        <f>I245*6%</f>
        <v>79200</v>
      </c>
    </row>
    <row r="247" spans="1:9" x14ac:dyDescent="0.25">
      <c r="A247" s="5"/>
      <c r="B247" s="5"/>
      <c r="C247" s="53"/>
      <c r="D247" s="98" t="s">
        <v>208</v>
      </c>
      <c r="E247" s="50">
        <v>1000000</v>
      </c>
      <c r="F247" s="42" t="s">
        <v>3</v>
      </c>
    </row>
    <row r="248" spans="1:9" s="185" customFormat="1" ht="30" x14ac:dyDescent="0.25">
      <c r="A248" s="3">
        <v>2</v>
      </c>
      <c r="B248" s="3">
        <v>2</v>
      </c>
      <c r="C248" s="34" t="s">
        <v>196</v>
      </c>
      <c r="D248" s="2" t="s">
        <v>242</v>
      </c>
      <c r="E248" s="35">
        <f>E249+E252</f>
        <v>2000000</v>
      </c>
      <c r="F248" s="3" t="s">
        <v>3</v>
      </c>
    </row>
    <row r="249" spans="1:9" x14ac:dyDescent="0.25">
      <c r="A249" s="3"/>
      <c r="B249" s="3"/>
      <c r="C249" s="34"/>
      <c r="D249" s="43" t="s">
        <v>243</v>
      </c>
      <c r="E249" s="37">
        <v>2000000</v>
      </c>
      <c r="F249" s="36" t="s">
        <v>3</v>
      </c>
    </row>
    <row r="250" spans="1:9" hidden="1" x14ac:dyDescent="0.25">
      <c r="A250" s="3"/>
      <c r="B250" s="3"/>
      <c r="C250" s="34"/>
      <c r="D250" s="98" t="s">
        <v>412</v>
      </c>
      <c r="E250" s="50">
        <v>0</v>
      </c>
      <c r="F250" s="42"/>
    </row>
    <row r="251" spans="1:9" hidden="1" x14ac:dyDescent="0.25">
      <c r="A251" s="3"/>
      <c r="B251" s="3"/>
      <c r="C251" s="34"/>
      <c r="D251" s="98" t="s">
        <v>411</v>
      </c>
      <c r="E251" s="50">
        <v>0</v>
      </c>
      <c r="F251" s="42"/>
    </row>
    <row r="252" spans="1:9" hidden="1" x14ac:dyDescent="0.25">
      <c r="A252" s="5"/>
      <c r="B252" s="5"/>
      <c r="C252" s="53"/>
      <c r="D252" s="43" t="s">
        <v>413</v>
      </c>
      <c r="E252" s="37">
        <v>0</v>
      </c>
      <c r="F252" s="42" t="s">
        <v>3</v>
      </c>
    </row>
    <row r="253" spans="1:9" x14ac:dyDescent="0.25">
      <c r="A253" s="8">
        <v>2</v>
      </c>
      <c r="B253" s="8">
        <v>3</v>
      </c>
      <c r="C253" s="8"/>
      <c r="D253" s="6" t="s">
        <v>244</v>
      </c>
      <c r="E253" s="57">
        <f>E254+E256+E257+E259+E261+E267+E271+E274+E278+E280</f>
        <v>374400000</v>
      </c>
      <c r="F253" s="8"/>
    </row>
    <row r="254" spans="1:9" s="185" customFormat="1" hidden="1" x14ac:dyDescent="0.25">
      <c r="A254" s="89">
        <v>2</v>
      </c>
      <c r="B254" s="89">
        <v>3</v>
      </c>
      <c r="C254" s="90" t="s">
        <v>85</v>
      </c>
      <c r="D254" s="17" t="s">
        <v>245</v>
      </c>
      <c r="E254" s="91">
        <f>E255</f>
        <v>0</v>
      </c>
      <c r="F254" s="89" t="s">
        <v>3</v>
      </c>
    </row>
    <row r="255" spans="1:9" ht="30" hidden="1" x14ac:dyDescent="0.25">
      <c r="A255" s="89"/>
      <c r="B255" s="89"/>
      <c r="C255" s="90"/>
      <c r="D255" s="103" t="s">
        <v>246</v>
      </c>
      <c r="E255" s="104"/>
      <c r="F255" s="105" t="s">
        <v>3</v>
      </c>
    </row>
    <row r="256" spans="1:9" hidden="1" x14ac:dyDescent="0.25">
      <c r="A256" s="5">
        <v>2</v>
      </c>
      <c r="B256" s="5">
        <v>3</v>
      </c>
      <c r="C256" s="53" t="s">
        <v>89</v>
      </c>
      <c r="D256" s="12" t="s">
        <v>247</v>
      </c>
      <c r="E256" s="54"/>
      <c r="F256" s="5"/>
    </row>
    <row r="257" spans="1:6" hidden="1" x14ac:dyDescent="0.25">
      <c r="A257" s="5">
        <v>2</v>
      </c>
      <c r="B257" s="5">
        <v>3</v>
      </c>
      <c r="C257" s="53" t="s">
        <v>98</v>
      </c>
      <c r="D257" s="12" t="s">
        <v>248</v>
      </c>
      <c r="E257" s="54">
        <f>SUM(E258)</f>
        <v>0</v>
      </c>
      <c r="F257" s="5" t="s">
        <v>3</v>
      </c>
    </row>
    <row r="258" spans="1:6" ht="30" hidden="1" x14ac:dyDescent="0.25">
      <c r="A258" s="5"/>
      <c r="B258" s="5"/>
      <c r="C258" s="53"/>
      <c r="D258" s="43" t="s">
        <v>249</v>
      </c>
      <c r="E258" s="37">
        <v>0</v>
      </c>
      <c r="F258" s="5"/>
    </row>
    <row r="259" spans="1:6" hidden="1" x14ac:dyDescent="0.25">
      <c r="A259" s="5">
        <v>2</v>
      </c>
      <c r="B259" s="5">
        <v>3</v>
      </c>
      <c r="C259" s="53" t="s">
        <v>122</v>
      </c>
      <c r="D259" s="12" t="s">
        <v>250</v>
      </c>
      <c r="E259" s="196"/>
      <c r="F259" s="5"/>
    </row>
    <row r="260" spans="1:6" s="204" customFormat="1" hidden="1" x14ac:dyDescent="0.25">
      <c r="A260" s="42"/>
      <c r="B260" s="42"/>
      <c r="C260" s="55"/>
      <c r="D260" s="71" t="s">
        <v>572</v>
      </c>
      <c r="E260" s="51"/>
      <c r="F260" s="42"/>
    </row>
    <row r="261" spans="1:6" ht="30" x14ac:dyDescent="0.25">
      <c r="A261" s="3">
        <v>2</v>
      </c>
      <c r="B261" s="3">
        <v>3</v>
      </c>
      <c r="C261" s="34" t="s">
        <v>199</v>
      </c>
      <c r="D261" s="2" t="s">
        <v>251</v>
      </c>
      <c r="E261" s="35">
        <f>SUM(E262:E266)</f>
        <v>168140000</v>
      </c>
      <c r="F261" s="3" t="s">
        <v>3</v>
      </c>
    </row>
    <row r="262" spans="1:6" hidden="1" x14ac:dyDescent="0.25">
      <c r="A262" s="5"/>
      <c r="B262" s="5"/>
      <c r="C262" s="53"/>
      <c r="D262" s="43" t="s">
        <v>574</v>
      </c>
      <c r="E262" s="40">
        <v>0</v>
      </c>
      <c r="F262" s="5"/>
    </row>
    <row r="263" spans="1:6" hidden="1" x14ac:dyDescent="0.25">
      <c r="A263" s="5"/>
      <c r="B263" s="5"/>
      <c r="C263" s="53"/>
      <c r="D263" s="43" t="s">
        <v>567</v>
      </c>
      <c r="E263" s="40">
        <v>0</v>
      </c>
      <c r="F263" s="5"/>
    </row>
    <row r="264" spans="1:6" x14ac:dyDescent="0.25">
      <c r="A264" s="5"/>
      <c r="B264" s="5"/>
      <c r="C264" s="53"/>
      <c r="D264" s="43" t="s">
        <v>579</v>
      </c>
      <c r="E264" s="37">
        <v>131740000</v>
      </c>
      <c r="F264" s="5"/>
    </row>
    <row r="265" spans="1:6" x14ac:dyDescent="0.25">
      <c r="A265" s="5"/>
      <c r="B265" s="5"/>
      <c r="C265" s="53"/>
      <c r="D265" s="43" t="s">
        <v>580</v>
      </c>
      <c r="E265" s="37">
        <v>36400000</v>
      </c>
      <c r="F265" s="5"/>
    </row>
    <row r="266" spans="1:6" hidden="1" x14ac:dyDescent="0.25">
      <c r="A266" s="5"/>
      <c r="B266" s="5"/>
      <c r="C266" s="53"/>
      <c r="D266" s="43" t="s">
        <v>568</v>
      </c>
      <c r="E266" s="50"/>
      <c r="F266" s="5"/>
    </row>
    <row r="267" spans="1:6" ht="30" x14ac:dyDescent="0.25">
      <c r="A267" s="3">
        <v>2</v>
      </c>
      <c r="B267" s="3">
        <v>3</v>
      </c>
      <c r="C267" s="34" t="s">
        <v>163</v>
      </c>
      <c r="D267" s="2" t="s">
        <v>252</v>
      </c>
      <c r="E267" s="35">
        <f>SUM(E268:E270)</f>
        <v>93520000</v>
      </c>
      <c r="F267" s="3" t="s">
        <v>3</v>
      </c>
    </row>
    <row r="268" spans="1:6" s="204" customFormat="1" x14ac:dyDescent="0.25">
      <c r="A268" s="36"/>
      <c r="B268" s="36"/>
      <c r="C268" s="38"/>
      <c r="D268" s="43" t="s">
        <v>569</v>
      </c>
      <c r="E268" s="40">
        <v>40820000</v>
      </c>
      <c r="F268" s="36"/>
    </row>
    <row r="269" spans="1:6" x14ac:dyDescent="0.25">
      <c r="A269" s="3"/>
      <c r="B269" s="3"/>
      <c r="C269" s="34"/>
      <c r="D269" s="43" t="s">
        <v>570</v>
      </c>
      <c r="E269" s="37">
        <v>21220000</v>
      </c>
      <c r="F269" s="3"/>
    </row>
    <row r="270" spans="1:6" x14ac:dyDescent="0.25">
      <c r="A270" s="3"/>
      <c r="B270" s="3"/>
      <c r="C270" s="34"/>
      <c r="D270" s="43" t="s">
        <v>592</v>
      </c>
      <c r="E270" s="40">
        <v>31480000</v>
      </c>
      <c r="F270" s="5"/>
    </row>
    <row r="271" spans="1:6" ht="30" x14ac:dyDescent="0.25">
      <c r="A271" s="3">
        <v>2</v>
      </c>
      <c r="B271" s="3">
        <v>3</v>
      </c>
      <c r="C271" s="34" t="s">
        <v>254</v>
      </c>
      <c r="D271" s="2" t="s">
        <v>255</v>
      </c>
      <c r="E271" s="35">
        <f>SUM(E272:E273)</f>
        <v>112740000</v>
      </c>
      <c r="F271" s="3" t="s">
        <v>3</v>
      </c>
    </row>
    <row r="272" spans="1:6" x14ac:dyDescent="0.25">
      <c r="A272" s="5"/>
      <c r="B272" s="5"/>
      <c r="C272" s="53"/>
      <c r="D272" s="71" t="s">
        <v>591</v>
      </c>
      <c r="E272" s="50">
        <v>112740000</v>
      </c>
      <c r="F272" s="42"/>
    </row>
    <row r="273" spans="1:6" ht="30" hidden="1" x14ac:dyDescent="0.25">
      <c r="A273" s="5"/>
      <c r="B273" s="5"/>
      <c r="C273" s="53"/>
      <c r="D273" s="43" t="s">
        <v>415</v>
      </c>
      <c r="E273" s="37">
        <v>0</v>
      </c>
      <c r="F273" s="5"/>
    </row>
    <row r="274" spans="1:6" ht="45" hidden="1" x14ac:dyDescent="0.25">
      <c r="A274" s="3">
        <v>2</v>
      </c>
      <c r="B274" s="3">
        <v>3</v>
      </c>
      <c r="C274" s="34" t="s">
        <v>257</v>
      </c>
      <c r="D274" s="2" t="s">
        <v>258</v>
      </c>
      <c r="E274" s="35">
        <f>SUM(E275:E277)</f>
        <v>0</v>
      </c>
      <c r="F274" s="3" t="s">
        <v>6</v>
      </c>
    </row>
    <row r="275" spans="1:6" ht="30" hidden="1" x14ac:dyDescent="0.25">
      <c r="A275" s="3"/>
      <c r="B275" s="3"/>
      <c r="C275" s="34"/>
      <c r="D275" s="43" t="s">
        <v>566</v>
      </c>
      <c r="E275" s="40">
        <v>0</v>
      </c>
      <c r="F275" s="3"/>
    </row>
    <row r="276" spans="1:6" hidden="1" x14ac:dyDescent="0.25">
      <c r="A276" s="3"/>
      <c r="B276" s="3"/>
      <c r="C276" s="34"/>
      <c r="D276" s="43" t="s">
        <v>573</v>
      </c>
      <c r="E276" s="40"/>
      <c r="F276" s="3"/>
    </row>
    <row r="277" spans="1:6" hidden="1" x14ac:dyDescent="0.25">
      <c r="A277" s="5"/>
      <c r="B277" s="5"/>
      <c r="C277" s="53"/>
      <c r="D277" s="71" t="s">
        <v>571</v>
      </c>
      <c r="E277" s="51">
        <v>0</v>
      </c>
      <c r="F277" s="5"/>
    </row>
    <row r="278" spans="1:6" ht="30" hidden="1" x14ac:dyDescent="0.25">
      <c r="A278" s="3">
        <v>2</v>
      </c>
      <c r="B278" s="3">
        <v>3</v>
      </c>
      <c r="C278" s="34" t="s">
        <v>261</v>
      </c>
      <c r="D278" s="2" t="s">
        <v>262</v>
      </c>
      <c r="E278" s="35">
        <f>E279</f>
        <v>0</v>
      </c>
      <c r="F278" s="3" t="s">
        <v>3</v>
      </c>
    </row>
    <row r="279" spans="1:6" ht="30" hidden="1" x14ac:dyDescent="0.25">
      <c r="A279" s="3"/>
      <c r="B279" s="3"/>
      <c r="C279" s="34"/>
      <c r="D279" s="43" t="s">
        <v>263</v>
      </c>
      <c r="E279" s="37">
        <v>0</v>
      </c>
      <c r="F279" s="3"/>
    </row>
    <row r="280" spans="1:6" ht="30" hidden="1" x14ac:dyDescent="0.25">
      <c r="A280" s="3">
        <v>2</v>
      </c>
      <c r="B280" s="3">
        <v>3</v>
      </c>
      <c r="C280" s="34" t="s">
        <v>264</v>
      </c>
      <c r="D280" s="2" t="s">
        <v>265</v>
      </c>
      <c r="E280" s="35">
        <f>SUM(E281:E281)</f>
        <v>0</v>
      </c>
      <c r="F280" s="3" t="s">
        <v>3</v>
      </c>
    </row>
    <row r="281" spans="1:6" hidden="1" x14ac:dyDescent="0.25">
      <c r="A281" s="3"/>
      <c r="B281" s="3"/>
      <c r="C281" s="34"/>
      <c r="D281" s="43" t="s">
        <v>266</v>
      </c>
      <c r="E281" s="40">
        <v>0</v>
      </c>
      <c r="F281" s="3"/>
    </row>
    <row r="282" spans="1:6" x14ac:dyDescent="0.25">
      <c r="A282" s="8">
        <v>2</v>
      </c>
      <c r="B282" s="8">
        <v>4</v>
      </c>
      <c r="C282" s="8"/>
      <c r="D282" s="6" t="s">
        <v>267</v>
      </c>
      <c r="E282" s="57">
        <f>E283+E285+E287+E294+E296+E299+E302+E304+E309</f>
        <v>459950000</v>
      </c>
      <c r="F282" s="8"/>
    </row>
    <row r="283" spans="1:6" ht="30" hidden="1" x14ac:dyDescent="0.25">
      <c r="A283" s="3">
        <v>2</v>
      </c>
      <c r="B283" s="3">
        <v>4</v>
      </c>
      <c r="C283" s="34" t="s">
        <v>85</v>
      </c>
      <c r="D283" s="2" t="s">
        <v>268</v>
      </c>
      <c r="E283" s="221">
        <f>SUM(E284:E284)</f>
        <v>0</v>
      </c>
      <c r="F283" s="3" t="s">
        <v>3</v>
      </c>
    </row>
    <row r="284" spans="1:6" ht="30" hidden="1" x14ac:dyDescent="0.25">
      <c r="A284" s="5"/>
      <c r="B284" s="3"/>
      <c r="C284" s="34"/>
      <c r="D284" s="43" t="s">
        <v>269</v>
      </c>
      <c r="E284" s="37">
        <v>0</v>
      </c>
      <c r="F284" s="3" t="s">
        <v>3</v>
      </c>
    </row>
    <row r="285" spans="1:6" hidden="1" x14ac:dyDescent="0.25">
      <c r="A285" s="3">
        <v>2</v>
      </c>
      <c r="B285" s="3">
        <v>4</v>
      </c>
      <c r="C285" s="34" t="s">
        <v>98</v>
      </c>
      <c r="D285" s="2" t="s">
        <v>270</v>
      </c>
      <c r="E285" s="35">
        <f>SUM(E286:E286)</f>
        <v>0</v>
      </c>
      <c r="F285" s="3" t="s">
        <v>3</v>
      </c>
    </row>
    <row r="286" spans="1:6" hidden="1" x14ac:dyDescent="0.25">
      <c r="A286" s="5"/>
      <c r="B286" s="3"/>
      <c r="C286" s="34"/>
      <c r="D286" s="43" t="s">
        <v>271</v>
      </c>
      <c r="E286" s="37">
        <v>0</v>
      </c>
      <c r="F286" s="3"/>
    </row>
    <row r="287" spans="1:6" s="185" customFormat="1" x14ac:dyDescent="0.25">
      <c r="A287" s="3">
        <v>2</v>
      </c>
      <c r="B287" s="3">
        <v>4</v>
      </c>
      <c r="C287" s="34" t="s">
        <v>159</v>
      </c>
      <c r="D287" s="2" t="s">
        <v>272</v>
      </c>
      <c r="E287" s="35">
        <f>SUM(E288:E293)</f>
        <v>104000000</v>
      </c>
      <c r="F287" s="3" t="s">
        <v>3</v>
      </c>
    </row>
    <row r="288" spans="1:6" x14ac:dyDescent="0.25">
      <c r="A288" s="5"/>
      <c r="B288" s="5"/>
      <c r="C288" s="53"/>
      <c r="D288" s="71" t="s">
        <v>556</v>
      </c>
      <c r="E288" s="50">
        <f>2000000*12</f>
        <v>24000000</v>
      </c>
      <c r="F288" s="3"/>
    </row>
    <row r="289" spans="1:8" x14ac:dyDescent="0.25">
      <c r="A289" s="5"/>
      <c r="B289" s="5"/>
      <c r="C289" s="53"/>
      <c r="D289" s="71" t="s">
        <v>555</v>
      </c>
      <c r="E289" s="50">
        <f>2000000*12</f>
        <v>24000000</v>
      </c>
      <c r="F289" s="46"/>
      <c r="H289">
        <v>1500000</v>
      </c>
    </row>
    <row r="290" spans="1:8" x14ac:dyDescent="0.25">
      <c r="A290" s="5"/>
      <c r="B290" s="5"/>
      <c r="C290" s="53"/>
      <c r="D290" s="71" t="s">
        <v>577</v>
      </c>
      <c r="E290" s="50">
        <f>1500000*12</f>
        <v>18000000</v>
      </c>
      <c r="F290" s="46"/>
      <c r="H290">
        <v>1300000</v>
      </c>
    </row>
    <row r="291" spans="1:8" x14ac:dyDescent="0.25">
      <c r="A291" s="5"/>
      <c r="B291" s="5"/>
      <c r="C291" s="53"/>
      <c r="D291" s="71" t="s">
        <v>276</v>
      </c>
      <c r="E291" s="50">
        <f>1500000*12</f>
        <v>18000000</v>
      </c>
      <c r="F291" s="46"/>
      <c r="H291">
        <v>1100000</v>
      </c>
    </row>
    <row r="292" spans="1:8" hidden="1" x14ac:dyDescent="0.25">
      <c r="A292" s="5"/>
      <c r="B292" s="5"/>
      <c r="C292" s="53"/>
      <c r="D292" s="71"/>
      <c r="E292" s="50">
        <v>0</v>
      </c>
      <c r="F292" s="46"/>
      <c r="H292">
        <v>1100000</v>
      </c>
    </row>
    <row r="293" spans="1:8" x14ac:dyDescent="0.25">
      <c r="A293" s="3"/>
      <c r="B293" s="3"/>
      <c r="C293" s="34"/>
      <c r="D293" s="43" t="s">
        <v>416</v>
      </c>
      <c r="E293" s="37">
        <v>20000000</v>
      </c>
      <c r="F293" s="97"/>
      <c r="H293">
        <v>1000000</v>
      </c>
    </row>
    <row r="294" spans="1:8" hidden="1" x14ac:dyDescent="0.25">
      <c r="A294" s="5">
        <v>2</v>
      </c>
      <c r="B294" s="5">
        <v>4</v>
      </c>
      <c r="C294" s="53" t="s">
        <v>160</v>
      </c>
      <c r="D294" s="12" t="s">
        <v>280</v>
      </c>
      <c r="E294" s="54">
        <f>SUM(E295:E295)</f>
        <v>0</v>
      </c>
      <c r="F294" s="5" t="s">
        <v>3</v>
      </c>
      <c r="H294">
        <f>SUM(H289:H293)</f>
        <v>6000000</v>
      </c>
    </row>
    <row r="295" spans="1:8" hidden="1" x14ac:dyDescent="0.25">
      <c r="A295" s="5"/>
      <c r="B295" s="5"/>
      <c r="C295" s="53"/>
      <c r="D295" s="71" t="s">
        <v>281</v>
      </c>
      <c r="E295" s="50">
        <v>0</v>
      </c>
      <c r="F295" s="5"/>
      <c r="H295">
        <f>H294*12</f>
        <v>72000000</v>
      </c>
    </row>
    <row r="296" spans="1:8" ht="30" hidden="1" x14ac:dyDescent="0.25">
      <c r="A296" s="3">
        <v>2</v>
      </c>
      <c r="B296" s="3">
        <v>4</v>
      </c>
      <c r="C296" s="34">
        <v>11</v>
      </c>
      <c r="D296" s="2" t="s">
        <v>282</v>
      </c>
      <c r="E296" s="35">
        <f>SUM(E297:E298)</f>
        <v>0</v>
      </c>
      <c r="F296" s="3" t="s">
        <v>3</v>
      </c>
    </row>
    <row r="297" spans="1:8" hidden="1" x14ac:dyDescent="0.25">
      <c r="A297" s="3"/>
      <c r="B297" s="3"/>
      <c r="C297" s="34"/>
      <c r="D297" s="71" t="s">
        <v>564</v>
      </c>
      <c r="E297" s="51">
        <v>0</v>
      </c>
      <c r="F297" s="42" t="s">
        <v>3</v>
      </c>
      <c r="G297">
        <v>187000000</v>
      </c>
    </row>
    <row r="298" spans="1:8" hidden="1" x14ac:dyDescent="0.25">
      <c r="A298" s="3"/>
      <c r="B298" s="3"/>
      <c r="C298" s="34"/>
      <c r="D298" s="71" t="s">
        <v>283</v>
      </c>
      <c r="E298" s="50">
        <v>0</v>
      </c>
      <c r="F298" s="42" t="s">
        <v>4</v>
      </c>
    </row>
    <row r="299" spans="1:8" ht="30" x14ac:dyDescent="0.25">
      <c r="A299" s="3">
        <v>2</v>
      </c>
      <c r="B299" s="3">
        <v>4</v>
      </c>
      <c r="C299" s="106">
        <v>12</v>
      </c>
      <c r="D299" s="107" t="s">
        <v>284</v>
      </c>
      <c r="E299" s="35">
        <f>E300</f>
        <v>180000000</v>
      </c>
      <c r="F299" s="3" t="s">
        <v>3</v>
      </c>
    </row>
    <row r="300" spans="1:8" x14ac:dyDescent="0.25">
      <c r="A300" s="5"/>
      <c r="B300" s="5"/>
      <c r="C300" s="108"/>
      <c r="D300" s="43" t="s">
        <v>563</v>
      </c>
      <c r="E300" s="37">
        <v>180000000</v>
      </c>
      <c r="F300" s="92"/>
      <c r="G300" s="173">
        <f>E300/2000</f>
        <v>90000</v>
      </c>
    </row>
    <row r="301" spans="1:8" hidden="1" x14ac:dyDescent="0.25">
      <c r="A301" s="3">
        <v>2</v>
      </c>
      <c r="B301" s="3">
        <v>4</v>
      </c>
      <c r="C301" s="34" t="s">
        <v>286</v>
      </c>
      <c r="D301" s="2" t="s">
        <v>287</v>
      </c>
      <c r="E301" s="109"/>
      <c r="F301" s="97"/>
    </row>
    <row r="302" spans="1:8" ht="30" hidden="1" x14ac:dyDescent="0.25">
      <c r="A302" s="3">
        <v>2</v>
      </c>
      <c r="B302" s="3">
        <v>4</v>
      </c>
      <c r="C302" s="34" t="s">
        <v>257</v>
      </c>
      <c r="D302" s="2" t="s">
        <v>288</v>
      </c>
      <c r="E302" s="35">
        <f>E303</f>
        <v>0</v>
      </c>
      <c r="F302" s="3" t="s">
        <v>3</v>
      </c>
    </row>
    <row r="303" spans="1:8" hidden="1" x14ac:dyDescent="0.25">
      <c r="A303" s="5"/>
      <c r="B303" s="5"/>
      <c r="C303" s="53"/>
      <c r="D303" s="43" t="s">
        <v>289</v>
      </c>
      <c r="E303" s="37">
        <v>0</v>
      </c>
      <c r="F303" s="92"/>
    </row>
    <row r="304" spans="1:8" s="185" customFormat="1" ht="30" x14ac:dyDescent="0.25">
      <c r="A304" s="3">
        <v>2</v>
      </c>
      <c r="B304" s="3">
        <v>4</v>
      </c>
      <c r="C304" s="34" t="s">
        <v>261</v>
      </c>
      <c r="D304" s="2" t="s">
        <v>290</v>
      </c>
      <c r="E304" s="35">
        <f>SUM(E305:E307)</f>
        <v>118930000</v>
      </c>
      <c r="F304" s="3" t="s">
        <v>3</v>
      </c>
    </row>
    <row r="305" spans="1:6" x14ac:dyDescent="0.25">
      <c r="A305" s="3"/>
      <c r="B305" s="3"/>
      <c r="C305" s="34"/>
      <c r="D305" s="43" t="s">
        <v>587</v>
      </c>
      <c r="E305" s="40">
        <v>118930000</v>
      </c>
      <c r="F305" s="36" t="s">
        <v>3</v>
      </c>
    </row>
    <row r="306" spans="1:6" x14ac:dyDescent="0.25">
      <c r="A306" s="5"/>
      <c r="B306" s="5"/>
      <c r="C306" s="53"/>
      <c r="D306" s="222" t="s">
        <v>590</v>
      </c>
      <c r="E306" s="50">
        <v>0</v>
      </c>
      <c r="F306" s="42"/>
    </row>
    <row r="307" spans="1:6" hidden="1" x14ac:dyDescent="0.25">
      <c r="A307" s="5"/>
      <c r="B307" s="5"/>
      <c r="C307" s="53"/>
      <c r="D307" s="71" t="s">
        <v>279</v>
      </c>
      <c r="E307" s="50">
        <v>0</v>
      </c>
      <c r="F307" s="42" t="s">
        <v>3</v>
      </c>
    </row>
    <row r="308" spans="1:6" hidden="1" x14ac:dyDescent="0.25">
      <c r="A308" s="5"/>
      <c r="B308" s="5"/>
      <c r="C308" s="53"/>
      <c r="D308" s="71"/>
      <c r="E308" s="64"/>
      <c r="F308" s="5"/>
    </row>
    <row r="309" spans="1:6" ht="30" x14ac:dyDescent="0.25">
      <c r="A309" s="3">
        <v>2</v>
      </c>
      <c r="B309" s="3">
        <v>4</v>
      </c>
      <c r="C309" s="34" t="s">
        <v>264</v>
      </c>
      <c r="D309" s="110" t="s">
        <v>292</v>
      </c>
      <c r="E309" s="45">
        <f>E310</f>
        <v>57020000</v>
      </c>
      <c r="F309" s="4" t="s">
        <v>3</v>
      </c>
    </row>
    <row r="310" spans="1:6" s="263" customFormat="1" x14ac:dyDescent="0.25">
      <c r="A310" s="48"/>
      <c r="B310" s="48"/>
      <c r="C310" s="62"/>
      <c r="D310" s="120" t="s">
        <v>589</v>
      </c>
      <c r="E310" s="205">
        <v>57020000</v>
      </c>
      <c r="F310" s="48"/>
    </row>
    <row r="311" spans="1:6" hidden="1" x14ac:dyDescent="0.25">
      <c r="A311" s="5"/>
      <c r="B311" s="5"/>
      <c r="C311" s="53"/>
      <c r="D311" s="111"/>
      <c r="E311" s="112"/>
      <c r="F311" s="113"/>
    </row>
    <row r="312" spans="1:6" hidden="1" x14ac:dyDescent="0.25">
      <c r="A312" s="5"/>
      <c r="B312" s="5"/>
      <c r="C312" s="53"/>
      <c r="D312" s="111"/>
      <c r="E312" s="112"/>
      <c r="F312" s="113"/>
    </row>
    <row r="313" spans="1:6" x14ac:dyDescent="0.25">
      <c r="A313" s="10">
        <v>2</v>
      </c>
      <c r="B313" s="10">
        <v>5</v>
      </c>
      <c r="C313" s="10"/>
      <c r="D313" s="114" t="s">
        <v>294</v>
      </c>
      <c r="E313" s="115">
        <f>E314+E317</f>
        <v>3000000</v>
      </c>
      <c r="F313" s="10"/>
    </row>
    <row r="314" spans="1:6" s="185" customFormat="1" x14ac:dyDescent="0.25">
      <c r="A314" s="92">
        <v>2</v>
      </c>
      <c r="B314" s="5">
        <v>5</v>
      </c>
      <c r="C314" s="53" t="s">
        <v>89</v>
      </c>
      <c r="D314" s="5" t="s">
        <v>295</v>
      </c>
      <c r="E314" s="54">
        <f>SUM(E315:E316)</f>
        <v>3000000</v>
      </c>
      <c r="F314" s="5" t="s">
        <v>3</v>
      </c>
    </row>
    <row r="315" spans="1:6" x14ac:dyDescent="0.25">
      <c r="A315" s="92"/>
      <c r="B315" s="92"/>
      <c r="C315" s="116"/>
      <c r="D315" s="42" t="s">
        <v>296</v>
      </c>
      <c r="E315" s="50">
        <v>1000000</v>
      </c>
      <c r="F315" s="42" t="s">
        <v>3</v>
      </c>
    </row>
    <row r="316" spans="1:6" x14ac:dyDescent="0.25">
      <c r="A316" s="92"/>
      <c r="B316" s="92"/>
      <c r="C316" s="116"/>
      <c r="D316" s="42" t="s">
        <v>297</v>
      </c>
      <c r="E316" s="50">
        <v>2000000</v>
      </c>
      <c r="F316" s="42" t="s">
        <v>3</v>
      </c>
    </row>
    <row r="317" spans="1:6" s="185" customFormat="1" ht="30" hidden="1" x14ac:dyDescent="0.25">
      <c r="A317" s="5">
        <v>2</v>
      </c>
      <c r="B317" s="5">
        <v>5</v>
      </c>
      <c r="C317" s="53" t="s">
        <v>98</v>
      </c>
      <c r="D317" s="187" t="s">
        <v>298</v>
      </c>
      <c r="E317" s="35">
        <f>E318</f>
        <v>0</v>
      </c>
      <c r="F317" s="3" t="s">
        <v>3</v>
      </c>
    </row>
    <row r="318" spans="1:6" hidden="1" x14ac:dyDescent="0.25">
      <c r="A318" s="92"/>
      <c r="B318" s="92"/>
      <c r="C318" s="92"/>
      <c r="D318" s="71" t="s">
        <v>299</v>
      </c>
      <c r="E318" s="37"/>
      <c r="F318" s="36" t="s">
        <v>3</v>
      </c>
    </row>
    <row r="319" spans="1:6" hidden="1" x14ac:dyDescent="0.25">
      <c r="A319" s="92"/>
      <c r="B319" s="92"/>
      <c r="C319" s="92"/>
      <c r="D319" s="71"/>
      <c r="E319" s="50"/>
      <c r="F319" s="42"/>
    </row>
    <row r="320" spans="1:6" x14ac:dyDescent="0.25">
      <c r="A320" s="117">
        <v>2</v>
      </c>
      <c r="B320" s="117">
        <v>6</v>
      </c>
      <c r="C320" s="117"/>
      <c r="D320" s="13" t="s">
        <v>52</v>
      </c>
      <c r="E320" s="118">
        <f>E321+E325+E331</f>
        <v>45400000</v>
      </c>
      <c r="F320" s="69"/>
    </row>
    <row r="321" spans="1:7" hidden="1" x14ac:dyDescent="0.25">
      <c r="A321" s="5">
        <v>2</v>
      </c>
      <c r="B321" s="5">
        <v>6</v>
      </c>
      <c r="C321" s="53" t="s">
        <v>85</v>
      </c>
      <c r="D321" s="12" t="s">
        <v>300</v>
      </c>
      <c r="E321" s="54">
        <f>SUM(E322:E324)</f>
        <v>0</v>
      </c>
      <c r="F321" s="5" t="s">
        <v>3</v>
      </c>
    </row>
    <row r="322" spans="1:7" hidden="1" x14ac:dyDescent="0.25">
      <c r="A322" s="5"/>
      <c r="B322" s="5"/>
      <c r="C322" s="53"/>
      <c r="D322" s="71" t="s">
        <v>301</v>
      </c>
      <c r="E322" s="75"/>
      <c r="F322" s="46"/>
    </row>
    <row r="323" spans="1:7" hidden="1" x14ac:dyDescent="0.25">
      <c r="A323" s="5"/>
      <c r="B323" s="5"/>
      <c r="C323" s="53"/>
      <c r="D323" s="71" t="s">
        <v>302</v>
      </c>
      <c r="E323" s="75"/>
      <c r="F323" s="46"/>
    </row>
    <row r="324" spans="1:7" hidden="1" x14ac:dyDescent="0.25">
      <c r="A324" s="5"/>
      <c r="B324" s="5"/>
      <c r="C324" s="53"/>
      <c r="D324" s="71" t="s">
        <v>303</v>
      </c>
      <c r="E324" s="75"/>
      <c r="F324" s="46"/>
    </row>
    <row r="325" spans="1:7" ht="33.75" customHeight="1" x14ac:dyDescent="0.25">
      <c r="A325" s="3">
        <v>2</v>
      </c>
      <c r="B325" s="3">
        <v>6</v>
      </c>
      <c r="C325" s="34" t="s">
        <v>89</v>
      </c>
      <c r="D325" s="2" t="s">
        <v>53</v>
      </c>
      <c r="E325" s="35">
        <f>SUM(E326:E330)</f>
        <v>45400000</v>
      </c>
      <c r="F325" s="2" t="s">
        <v>304</v>
      </c>
    </row>
    <row r="326" spans="1:7" hidden="1" x14ac:dyDescent="0.25">
      <c r="A326" s="3"/>
      <c r="B326" s="3"/>
      <c r="C326" s="34"/>
      <c r="D326" s="42" t="s">
        <v>161</v>
      </c>
      <c r="E326" s="50">
        <v>0</v>
      </c>
      <c r="F326" s="2"/>
    </row>
    <row r="327" spans="1:7" x14ac:dyDescent="0.25">
      <c r="A327" s="3"/>
      <c r="B327" s="3"/>
      <c r="C327" s="34"/>
      <c r="D327" s="48" t="s">
        <v>162</v>
      </c>
      <c r="E327" s="49">
        <v>24000000</v>
      </c>
      <c r="F327" s="43" t="s">
        <v>3</v>
      </c>
      <c r="G327" s="173">
        <f>E327/12</f>
        <v>2000000</v>
      </c>
    </row>
    <row r="328" spans="1:7" x14ac:dyDescent="0.25">
      <c r="A328" s="3"/>
      <c r="B328" s="3"/>
      <c r="C328" s="34"/>
      <c r="D328" s="48" t="s">
        <v>586</v>
      </c>
      <c r="E328" s="49">
        <f>1700000*12</f>
        <v>20400000</v>
      </c>
      <c r="F328" s="43" t="s">
        <v>3</v>
      </c>
      <c r="G328" s="173">
        <f>E328/12</f>
        <v>1700000</v>
      </c>
    </row>
    <row r="329" spans="1:7" x14ac:dyDescent="0.25">
      <c r="A329" s="3"/>
      <c r="B329" s="3"/>
      <c r="C329" s="34"/>
      <c r="D329" s="43" t="s">
        <v>305</v>
      </c>
      <c r="E329" s="37">
        <v>1000000</v>
      </c>
      <c r="F329" s="43" t="s">
        <v>6</v>
      </c>
      <c r="G329" t="s">
        <v>0</v>
      </c>
    </row>
    <row r="330" spans="1:7" hidden="1" x14ac:dyDescent="0.25">
      <c r="A330" s="3"/>
      <c r="B330" s="3"/>
      <c r="C330" s="34"/>
      <c r="D330" s="103" t="s">
        <v>306</v>
      </c>
      <c r="E330" s="104">
        <v>0</v>
      </c>
      <c r="F330" s="119"/>
    </row>
    <row r="331" spans="1:7" ht="30" hidden="1" x14ac:dyDescent="0.25">
      <c r="A331" s="93">
        <v>2</v>
      </c>
      <c r="B331" s="93">
        <v>6</v>
      </c>
      <c r="C331" s="94" t="s">
        <v>98</v>
      </c>
      <c r="D331" s="95" t="s">
        <v>307</v>
      </c>
      <c r="E331" s="96">
        <f>SUM(E332:E333)</f>
        <v>0</v>
      </c>
      <c r="F331" s="95" t="s">
        <v>3</v>
      </c>
    </row>
    <row r="332" spans="1:7" hidden="1" x14ac:dyDescent="0.25">
      <c r="A332" s="3"/>
      <c r="B332" s="3"/>
      <c r="C332" s="34"/>
      <c r="D332" s="103" t="s">
        <v>308</v>
      </c>
      <c r="E332" s="104">
        <v>0</v>
      </c>
      <c r="F332" s="2"/>
    </row>
    <row r="333" spans="1:7" hidden="1" x14ac:dyDescent="0.25">
      <c r="A333" s="3"/>
      <c r="B333" s="3"/>
      <c r="C333" s="34"/>
      <c r="D333" s="103" t="s">
        <v>309</v>
      </c>
      <c r="E333" s="104"/>
      <c r="F333" s="119"/>
    </row>
    <row r="334" spans="1:7" x14ac:dyDescent="0.25">
      <c r="A334" s="10">
        <v>2</v>
      </c>
      <c r="B334" s="10">
        <v>7</v>
      </c>
      <c r="C334" s="10"/>
      <c r="D334" s="114" t="s">
        <v>310</v>
      </c>
      <c r="E334" s="115">
        <f>E335+E336</f>
        <v>9000000</v>
      </c>
      <c r="F334" s="10"/>
    </row>
    <row r="335" spans="1:7" s="70" customFormat="1" ht="30" hidden="1" x14ac:dyDescent="0.25">
      <c r="A335" s="3">
        <v>2</v>
      </c>
      <c r="B335" s="3">
        <v>7</v>
      </c>
      <c r="C335" s="34" t="s">
        <v>85</v>
      </c>
      <c r="D335" s="260" t="s">
        <v>575</v>
      </c>
      <c r="E335" s="35"/>
      <c r="F335" s="3"/>
    </row>
    <row r="336" spans="1:7" s="70" customFormat="1" ht="30" x14ac:dyDescent="0.25">
      <c r="A336" s="3">
        <v>2</v>
      </c>
      <c r="B336" s="3">
        <v>7</v>
      </c>
      <c r="C336" s="34" t="s">
        <v>89</v>
      </c>
      <c r="D336" s="260" t="s">
        <v>576</v>
      </c>
      <c r="E336" s="35">
        <f>SUM(E337:E338)</f>
        <v>9000000</v>
      </c>
      <c r="F336" s="3" t="s">
        <v>3</v>
      </c>
    </row>
    <row r="337" spans="1:6" s="262" customFormat="1" x14ac:dyDescent="0.25">
      <c r="A337" s="36"/>
      <c r="B337" s="36"/>
      <c r="C337" s="38"/>
      <c r="D337" s="261" t="s">
        <v>581</v>
      </c>
      <c r="E337" s="37">
        <v>5000000</v>
      </c>
      <c r="F337" s="36" t="s">
        <v>3</v>
      </c>
    </row>
    <row r="338" spans="1:6" s="237" customFormat="1" x14ac:dyDescent="0.25">
      <c r="A338" s="42"/>
      <c r="B338" s="42"/>
      <c r="C338" s="42"/>
      <c r="D338" s="71" t="s">
        <v>588</v>
      </c>
      <c r="E338" s="50">
        <v>4000000</v>
      </c>
      <c r="F338" s="42" t="s">
        <v>3</v>
      </c>
    </row>
    <row r="339" spans="1:6" x14ac:dyDescent="0.25">
      <c r="A339" s="10">
        <v>2</v>
      </c>
      <c r="B339" s="10">
        <v>8</v>
      </c>
      <c r="C339" s="8"/>
      <c r="D339" s="114" t="s">
        <v>311</v>
      </c>
      <c r="E339" s="57">
        <f>E343</f>
        <v>9000000</v>
      </c>
      <c r="F339" s="8"/>
    </row>
    <row r="340" spans="1:6" hidden="1" x14ac:dyDescent="0.25">
      <c r="A340" s="3">
        <v>2</v>
      </c>
      <c r="B340" s="3">
        <v>8</v>
      </c>
      <c r="C340" s="34" t="s">
        <v>85</v>
      </c>
      <c r="D340" s="2" t="s">
        <v>312</v>
      </c>
      <c r="E340" s="35"/>
      <c r="F340" s="3"/>
    </row>
    <row r="341" spans="1:6" s="188" customFormat="1" ht="30" hidden="1" x14ac:dyDescent="0.25">
      <c r="A341" s="3">
        <v>2</v>
      </c>
      <c r="B341" s="3">
        <v>8</v>
      </c>
      <c r="C341" s="34" t="s">
        <v>89</v>
      </c>
      <c r="D341" s="2" t="s">
        <v>313</v>
      </c>
      <c r="E341" s="35"/>
      <c r="F341" s="3"/>
    </row>
    <row r="342" spans="1:6" hidden="1" x14ac:dyDescent="0.25">
      <c r="A342" s="5"/>
      <c r="B342" s="5"/>
      <c r="C342" s="53"/>
      <c r="D342" s="12"/>
      <c r="E342" s="54"/>
      <c r="F342" s="5"/>
    </row>
    <row r="343" spans="1:6" s="185" customFormat="1" x14ac:dyDescent="0.25">
      <c r="A343" s="5">
        <v>2</v>
      </c>
      <c r="B343" s="5">
        <v>8</v>
      </c>
      <c r="C343" s="53" t="s">
        <v>98</v>
      </c>
      <c r="D343" s="17" t="s">
        <v>314</v>
      </c>
      <c r="E343" s="54">
        <f>SUM(E344:E346)</f>
        <v>9000000</v>
      </c>
      <c r="F343" s="5" t="s">
        <v>3</v>
      </c>
    </row>
    <row r="344" spans="1:6" x14ac:dyDescent="0.25">
      <c r="A344" s="5"/>
      <c r="B344" s="5"/>
      <c r="C344" s="53"/>
      <c r="D344" s="120" t="s">
        <v>584</v>
      </c>
      <c r="E344" s="49">
        <v>9000000</v>
      </c>
      <c r="F344" s="92" t="s">
        <v>3</v>
      </c>
    </row>
    <row r="345" spans="1:6" hidden="1" x14ac:dyDescent="0.25">
      <c r="A345" s="5"/>
      <c r="B345" s="5"/>
      <c r="C345" s="53"/>
      <c r="D345" s="120"/>
      <c r="E345" s="49"/>
      <c r="F345" s="92" t="s">
        <v>3</v>
      </c>
    </row>
    <row r="346" spans="1:6" hidden="1" x14ac:dyDescent="0.25">
      <c r="A346" s="5"/>
      <c r="B346" s="5"/>
      <c r="C346" s="53"/>
      <c r="D346" s="120"/>
      <c r="E346" s="49">
        <v>0</v>
      </c>
      <c r="F346" s="92" t="s">
        <v>316</v>
      </c>
    </row>
    <row r="347" spans="1:6" x14ac:dyDescent="0.25">
      <c r="A347" s="11">
        <v>3</v>
      </c>
      <c r="B347" s="11"/>
      <c r="C347" s="11"/>
      <c r="D347" s="14" t="s">
        <v>54</v>
      </c>
      <c r="E347" s="88">
        <f>E348+E366+E383+E395</f>
        <v>74500000</v>
      </c>
      <c r="F347" s="11"/>
    </row>
    <row r="348" spans="1:6" ht="30" x14ac:dyDescent="0.25">
      <c r="A348" s="119">
        <v>3</v>
      </c>
      <c r="B348" s="121">
        <v>1</v>
      </c>
      <c r="C348" s="121"/>
      <c r="D348" s="15" t="s">
        <v>55</v>
      </c>
      <c r="E348" s="122">
        <f>E349+E357+E362</f>
        <v>34500000</v>
      </c>
      <c r="F348" s="121"/>
    </row>
    <row r="349" spans="1:6" ht="15.75" customHeight="1" x14ac:dyDescent="0.25">
      <c r="A349" s="5">
        <v>3</v>
      </c>
      <c r="B349" s="5">
        <v>1</v>
      </c>
      <c r="C349" s="53" t="s">
        <v>85</v>
      </c>
      <c r="D349" s="12" t="s">
        <v>60</v>
      </c>
      <c r="E349" s="54">
        <f>E350+E353</f>
        <v>34500000</v>
      </c>
      <c r="F349" s="5" t="s">
        <v>1</v>
      </c>
    </row>
    <row r="350" spans="1:6" ht="18" hidden="1" customHeight="1" x14ac:dyDescent="0.25">
      <c r="A350" s="5"/>
      <c r="B350" s="5"/>
      <c r="C350" s="53"/>
      <c r="D350" s="72" t="s">
        <v>317</v>
      </c>
      <c r="E350" s="64">
        <f>SUM(E351:E352)</f>
        <v>0</v>
      </c>
      <c r="F350" s="63" t="s">
        <v>3</v>
      </c>
    </row>
    <row r="351" spans="1:6" hidden="1" x14ac:dyDescent="0.25">
      <c r="A351" s="5"/>
      <c r="B351" s="5"/>
      <c r="C351" s="53"/>
      <c r="D351" s="71" t="s">
        <v>318</v>
      </c>
      <c r="E351" s="51">
        <v>0</v>
      </c>
      <c r="F351" s="42" t="s">
        <v>3</v>
      </c>
    </row>
    <row r="352" spans="1:6" hidden="1" x14ac:dyDescent="0.25">
      <c r="A352" s="5"/>
      <c r="B352" s="5"/>
      <c r="C352" s="53"/>
      <c r="D352" s="71" t="s">
        <v>319</v>
      </c>
      <c r="E352" s="51">
        <v>0</v>
      </c>
      <c r="F352" s="42" t="s">
        <v>3</v>
      </c>
    </row>
    <row r="353" spans="1:8" ht="15.75" customHeight="1" x14ac:dyDescent="0.25">
      <c r="A353" s="5"/>
      <c r="B353" s="5"/>
      <c r="C353" s="53"/>
      <c r="D353" s="72" t="s">
        <v>557</v>
      </c>
      <c r="E353" s="64">
        <f>SUM(E354:E356)</f>
        <v>34500000</v>
      </c>
      <c r="F353" s="63" t="s">
        <v>1</v>
      </c>
    </row>
    <row r="354" spans="1:8" ht="20.25" customHeight="1" x14ac:dyDescent="0.25">
      <c r="A354" s="3"/>
      <c r="B354" s="3"/>
      <c r="C354" s="34"/>
      <c r="D354" s="43" t="s">
        <v>558</v>
      </c>
      <c r="E354" s="37">
        <v>9000000</v>
      </c>
      <c r="F354" s="43" t="s">
        <v>1</v>
      </c>
    </row>
    <row r="355" spans="1:8" ht="17.25" customHeight="1" x14ac:dyDescent="0.25">
      <c r="A355" s="5"/>
      <c r="B355" s="5"/>
      <c r="C355" s="53"/>
      <c r="D355" s="71" t="s">
        <v>559</v>
      </c>
      <c r="E355" s="50">
        <v>3000000</v>
      </c>
      <c r="F355" s="48" t="s">
        <v>1</v>
      </c>
    </row>
    <row r="356" spans="1:8" s="204" customFormat="1" x14ac:dyDescent="0.25">
      <c r="A356" s="63"/>
      <c r="B356" s="63"/>
      <c r="C356" s="259"/>
      <c r="D356" s="71" t="s">
        <v>560</v>
      </c>
      <c r="E356" s="50">
        <v>22500000</v>
      </c>
      <c r="F356" s="48" t="s">
        <v>1</v>
      </c>
      <c r="H356" s="204">
        <f>750000*30</f>
        <v>22500000</v>
      </c>
    </row>
    <row r="357" spans="1:8" ht="30" hidden="1" x14ac:dyDescent="0.25">
      <c r="A357" s="5">
        <v>3</v>
      </c>
      <c r="B357" s="5">
        <v>1</v>
      </c>
      <c r="C357" s="53" t="s">
        <v>89</v>
      </c>
      <c r="D357" s="12" t="s">
        <v>323</v>
      </c>
      <c r="E357" s="75"/>
      <c r="F357" s="46"/>
    </row>
    <row r="358" spans="1:8" ht="30" hidden="1" x14ac:dyDescent="0.25">
      <c r="A358" s="5">
        <v>3</v>
      </c>
      <c r="B358" s="5">
        <v>1</v>
      </c>
      <c r="C358" s="53" t="s">
        <v>98</v>
      </c>
      <c r="D358" s="12" t="s">
        <v>324</v>
      </c>
      <c r="E358" s="75"/>
      <c r="F358" s="46"/>
    </row>
    <row r="359" spans="1:8" hidden="1" x14ac:dyDescent="0.25">
      <c r="A359" s="3">
        <v>3</v>
      </c>
      <c r="B359" s="3">
        <v>1</v>
      </c>
      <c r="C359" s="34" t="s">
        <v>109</v>
      </c>
      <c r="D359" s="2" t="s">
        <v>325</v>
      </c>
      <c r="E359" s="109"/>
      <c r="F359" s="97"/>
    </row>
    <row r="360" spans="1:8" hidden="1" x14ac:dyDescent="0.25">
      <c r="A360" s="5">
        <v>3</v>
      </c>
      <c r="B360" s="5">
        <v>1</v>
      </c>
      <c r="C360" s="53" t="s">
        <v>122</v>
      </c>
      <c r="D360" s="12" t="s">
        <v>326</v>
      </c>
      <c r="E360" s="75"/>
      <c r="F360" s="46"/>
    </row>
    <row r="361" spans="1:8" hidden="1" x14ac:dyDescent="0.25">
      <c r="A361" s="5">
        <v>3</v>
      </c>
      <c r="B361" s="5">
        <v>1</v>
      </c>
      <c r="C361" s="53" t="s">
        <v>125</v>
      </c>
      <c r="D361" s="12" t="s">
        <v>327</v>
      </c>
      <c r="E361" s="75"/>
      <c r="F361" s="46"/>
    </row>
    <row r="362" spans="1:8" ht="30" hidden="1" x14ac:dyDescent="0.25">
      <c r="A362" s="5">
        <v>3</v>
      </c>
      <c r="B362" s="5">
        <v>1</v>
      </c>
      <c r="C362" s="53" t="s">
        <v>159</v>
      </c>
      <c r="D362" s="12" t="s">
        <v>328</v>
      </c>
      <c r="E362" s="75">
        <f>SUM(E363:E365)</f>
        <v>0</v>
      </c>
      <c r="F362" s="46"/>
    </row>
    <row r="363" spans="1:8" hidden="1" x14ac:dyDescent="0.25">
      <c r="A363" s="5"/>
      <c r="B363" s="5"/>
      <c r="C363" s="53"/>
      <c r="D363" s="12"/>
      <c r="E363" s="75"/>
      <c r="F363" s="46"/>
    </row>
    <row r="364" spans="1:8" hidden="1" x14ac:dyDescent="0.25">
      <c r="A364" s="5"/>
      <c r="B364" s="5"/>
      <c r="C364" s="53"/>
      <c r="D364" s="12"/>
      <c r="E364" s="75"/>
      <c r="F364" s="46"/>
    </row>
    <row r="365" spans="1:8" hidden="1" x14ac:dyDescent="0.25">
      <c r="A365" s="5"/>
      <c r="B365" s="5"/>
      <c r="C365" s="53"/>
      <c r="D365" s="12"/>
      <c r="E365" s="75"/>
      <c r="F365" s="46"/>
    </row>
    <row r="366" spans="1:8" x14ac:dyDescent="0.25">
      <c r="A366" s="121">
        <v>3</v>
      </c>
      <c r="B366" s="121">
        <v>2</v>
      </c>
      <c r="C366" s="121"/>
      <c r="D366" s="15" t="s">
        <v>56</v>
      </c>
      <c r="E366" s="122">
        <f>E367+E369+E372</f>
        <v>21000000</v>
      </c>
      <c r="F366" s="15"/>
    </row>
    <row r="367" spans="1:8" x14ac:dyDescent="0.25">
      <c r="A367" s="3">
        <v>3</v>
      </c>
      <c r="B367" s="3">
        <v>2</v>
      </c>
      <c r="C367" s="34" t="s">
        <v>85</v>
      </c>
      <c r="D367" s="2" t="s">
        <v>57</v>
      </c>
      <c r="E367" s="109">
        <f>SUM(E368:E368)</f>
        <v>10000000</v>
      </c>
      <c r="F367" s="97" t="s">
        <v>1</v>
      </c>
    </row>
    <row r="368" spans="1:8" ht="13.5" customHeight="1" x14ac:dyDescent="0.25">
      <c r="A368" s="3"/>
      <c r="B368" s="3"/>
      <c r="C368" s="34"/>
      <c r="D368" s="43" t="s">
        <v>329</v>
      </c>
      <c r="E368" s="37">
        <v>10000000</v>
      </c>
      <c r="F368" s="36" t="s">
        <v>1</v>
      </c>
    </row>
    <row r="369" spans="1:6" ht="29.25" customHeight="1" x14ac:dyDescent="0.25">
      <c r="A369" s="3">
        <v>3</v>
      </c>
      <c r="B369" s="3">
        <v>2</v>
      </c>
      <c r="C369" s="34" t="s">
        <v>89</v>
      </c>
      <c r="D369" s="2" t="s">
        <v>58</v>
      </c>
      <c r="E369" s="35">
        <f>SUM(E370:E371)</f>
        <v>7000000</v>
      </c>
      <c r="F369" s="3" t="s">
        <v>330</v>
      </c>
    </row>
    <row r="370" spans="1:6" x14ac:dyDescent="0.25">
      <c r="A370" s="3"/>
      <c r="B370" s="3"/>
      <c r="C370" s="34"/>
      <c r="D370" s="103" t="s">
        <v>331</v>
      </c>
      <c r="E370" s="104">
        <v>2000000</v>
      </c>
      <c r="F370" s="105" t="s">
        <v>1</v>
      </c>
    </row>
    <row r="371" spans="1:6" ht="19.5" customHeight="1" x14ac:dyDescent="0.25">
      <c r="A371" s="3"/>
      <c r="B371" s="3"/>
      <c r="C371" s="34"/>
      <c r="D371" s="103" t="s">
        <v>332</v>
      </c>
      <c r="E371" s="104">
        <v>5000000</v>
      </c>
      <c r="F371" s="105" t="s">
        <v>2</v>
      </c>
    </row>
    <row r="372" spans="1:6" ht="29.25" customHeight="1" x14ac:dyDescent="0.25">
      <c r="A372" s="3">
        <v>3</v>
      </c>
      <c r="B372" s="3">
        <v>2</v>
      </c>
      <c r="C372" s="34" t="s">
        <v>98</v>
      </c>
      <c r="D372" s="2" t="s">
        <v>561</v>
      </c>
      <c r="E372" s="35">
        <f>E373</f>
        <v>4000000</v>
      </c>
      <c r="F372" s="3" t="s">
        <v>2</v>
      </c>
    </row>
    <row r="373" spans="1:6" ht="18.75" customHeight="1" x14ac:dyDescent="0.25">
      <c r="A373" s="3"/>
      <c r="B373" s="3"/>
      <c r="C373" s="34"/>
      <c r="D373" s="43" t="s">
        <v>333</v>
      </c>
      <c r="E373" s="109">
        <v>4000000</v>
      </c>
      <c r="F373" s="36" t="s">
        <v>2</v>
      </c>
    </row>
    <row r="374" spans="1:6" hidden="1" x14ac:dyDescent="0.25">
      <c r="A374" s="3"/>
      <c r="B374" s="3"/>
      <c r="C374" s="34"/>
      <c r="D374" s="2"/>
      <c r="E374" s="109"/>
      <c r="F374" s="97"/>
    </row>
    <row r="375" spans="1:6" ht="30" hidden="1" x14ac:dyDescent="0.25">
      <c r="A375" s="5">
        <v>3</v>
      </c>
      <c r="B375" s="5">
        <v>2</v>
      </c>
      <c r="C375" s="53" t="s">
        <v>122</v>
      </c>
      <c r="D375" s="12" t="s">
        <v>334</v>
      </c>
      <c r="E375" s="75"/>
      <c r="F375" s="46"/>
    </row>
    <row r="376" spans="1:6" ht="45" hidden="1" x14ac:dyDescent="0.25">
      <c r="A376" s="5">
        <v>3</v>
      </c>
      <c r="B376" s="5">
        <v>2</v>
      </c>
      <c r="C376" s="53" t="s">
        <v>98</v>
      </c>
      <c r="D376" s="12" t="s">
        <v>335</v>
      </c>
      <c r="E376" s="75"/>
      <c r="F376" s="46"/>
    </row>
    <row r="377" spans="1:6" hidden="1" x14ac:dyDescent="0.25">
      <c r="A377" s="5"/>
      <c r="B377" s="5"/>
      <c r="C377" s="53"/>
      <c r="D377" s="4" t="s">
        <v>336</v>
      </c>
      <c r="E377" s="124">
        <v>0</v>
      </c>
      <c r="F377" s="46" t="s">
        <v>4</v>
      </c>
    </row>
    <row r="378" spans="1:6" hidden="1" x14ac:dyDescent="0.25">
      <c r="A378" s="5"/>
      <c r="B378" s="5"/>
      <c r="C378" s="53"/>
      <c r="D378" s="4" t="s">
        <v>337</v>
      </c>
      <c r="E378" s="124">
        <v>0</v>
      </c>
      <c r="F378" s="46" t="s">
        <v>338</v>
      </c>
    </row>
    <row r="379" spans="1:6" hidden="1" x14ac:dyDescent="0.25">
      <c r="A379" s="5"/>
      <c r="B379" s="5"/>
      <c r="C379" s="53"/>
      <c r="D379" s="4" t="s">
        <v>339</v>
      </c>
      <c r="E379" s="124">
        <v>0</v>
      </c>
      <c r="F379" s="46" t="s">
        <v>4</v>
      </c>
    </row>
    <row r="380" spans="1:6" ht="30" hidden="1" x14ac:dyDescent="0.25">
      <c r="A380" s="3">
        <v>3</v>
      </c>
      <c r="B380" s="3">
        <v>2</v>
      </c>
      <c r="C380" s="34" t="s">
        <v>122</v>
      </c>
      <c r="D380" s="2" t="s">
        <v>340</v>
      </c>
      <c r="E380" s="109">
        <v>0</v>
      </c>
      <c r="F380" s="97" t="s">
        <v>4</v>
      </c>
    </row>
    <row r="381" spans="1:6" hidden="1" x14ac:dyDescent="0.25">
      <c r="A381" s="5"/>
      <c r="B381" s="5"/>
      <c r="C381" s="53"/>
      <c r="D381" s="17" t="s">
        <v>341</v>
      </c>
      <c r="E381" s="124">
        <v>0</v>
      </c>
      <c r="F381" s="46" t="s">
        <v>4</v>
      </c>
    </row>
    <row r="382" spans="1:6" hidden="1" x14ac:dyDescent="0.25">
      <c r="A382" s="5"/>
      <c r="B382" s="5"/>
      <c r="C382" s="53"/>
      <c r="D382" s="2" t="s">
        <v>342</v>
      </c>
      <c r="E382" s="109">
        <v>0</v>
      </c>
      <c r="F382" s="97" t="s">
        <v>4</v>
      </c>
    </row>
    <row r="383" spans="1:6" x14ac:dyDescent="0.25">
      <c r="A383" s="125">
        <v>3</v>
      </c>
      <c r="B383" s="125">
        <v>3</v>
      </c>
      <c r="C383" s="125"/>
      <c r="D383" s="16" t="s">
        <v>61</v>
      </c>
      <c r="E383" s="126">
        <f>E384+E388+E389+E390+E391+E393</f>
        <v>9000000</v>
      </c>
      <c r="F383" s="125"/>
    </row>
    <row r="384" spans="1:6" ht="30" customHeight="1" x14ac:dyDescent="0.25">
      <c r="A384" s="3">
        <v>3</v>
      </c>
      <c r="B384" s="3">
        <v>3</v>
      </c>
      <c r="C384" s="34" t="s">
        <v>85</v>
      </c>
      <c r="D384" s="2" t="s">
        <v>62</v>
      </c>
      <c r="E384" s="35">
        <f>SUM(E385:E387)</f>
        <v>9000000</v>
      </c>
      <c r="F384" s="3" t="s">
        <v>2</v>
      </c>
    </row>
    <row r="385" spans="1:6" ht="18.75" customHeight="1" x14ac:dyDescent="0.25">
      <c r="A385" s="3"/>
      <c r="B385" s="3"/>
      <c r="C385" s="34"/>
      <c r="D385" s="43" t="s">
        <v>343</v>
      </c>
      <c r="E385" s="37">
        <v>2000000</v>
      </c>
      <c r="F385" s="36"/>
    </row>
    <row r="386" spans="1:6" ht="14.25" customHeight="1" x14ac:dyDescent="0.25">
      <c r="A386" s="3"/>
      <c r="B386" s="3"/>
      <c r="C386" s="34"/>
      <c r="D386" s="43" t="s">
        <v>344</v>
      </c>
      <c r="E386" s="37">
        <v>5000000</v>
      </c>
      <c r="F386" s="36"/>
    </row>
    <row r="387" spans="1:6" ht="18" customHeight="1" x14ac:dyDescent="0.25">
      <c r="A387" s="3"/>
      <c r="B387" s="3"/>
      <c r="C387" s="34"/>
      <c r="D387" s="43" t="s">
        <v>414</v>
      </c>
      <c r="E387" s="37">
        <v>2000000</v>
      </c>
      <c r="F387" s="36"/>
    </row>
    <row r="388" spans="1:6" hidden="1" x14ac:dyDescent="0.25">
      <c r="A388" s="5">
        <v>3</v>
      </c>
      <c r="B388" s="5">
        <v>3</v>
      </c>
      <c r="C388" s="53" t="s">
        <v>89</v>
      </c>
      <c r="D388" s="12" t="s">
        <v>345</v>
      </c>
      <c r="E388" s="75"/>
      <c r="F388" s="46"/>
    </row>
    <row r="389" spans="1:6" ht="30" hidden="1" x14ac:dyDescent="0.25">
      <c r="A389" s="5">
        <v>3</v>
      </c>
      <c r="B389" s="5">
        <v>3</v>
      </c>
      <c r="C389" s="53" t="s">
        <v>98</v>
      </c>
      <c r="D389" s="12" t="s">
        <v>346</v>
      </c>
      <c r="E389" s="75"/>
      <c r="F389" s="46"/>
    </row>
    <row r="390" spans="1:6" ht="30" hidden="1" x14ac:dyDescent="0.25">
      <c r="A390" s="5">
        <v>3</v>
      </c>
      <c r="B390" s="5">
        <v>3</v>
      </c>
      <c r="C390" s="53" t="s">
        <v>109</v>
      </c>
      <c r="D390" s="12" t="s">
        <v>347</v>
      </c>
      <c r="E390" s="75"/>
      <c r="F390" s="46"/>
    </row>
    <row r="391" spans="1:6" ht="30" x14ac:dyDescent="0.25">
      <c r="A391" s="3">
        <v>3</v>
      </c>
      <c r="B391" s="3">
        <v>3</v>
      </c>
      <c r="C391" s="34" t="s">
        <v>122</v>
      </c>
      <c r="D391" s="2" t="s">
        <v>348</v>
      </c>
      <c r="E391" s="35">
        <f>E392</f>
        <v>0</v>
      </c>
      <c r="F391" s="3" t="s">
        <v>1</v>
      </c>
    </row>
    <row r="392" spans="1:6" x14ac:dyDescent="0.25">
      <c r="A392" s="5"/>
      <c r="B392" s="5"/>
      <c r="C392" s="53"/>
      <c r="D392" s="222" t="s">
        <v>349</v>
      </c>
      <c r="E392" s="50">
        <v>0</v>
      </c>
      <c r="F392" s="42" t="s">
        <v>1</v>
      </c>
    </row>
    <row r="393" spans="1:6" x14ac:dyDescent="0.25">
      <c r="A393" s="3">
        <v>3</v>
      </c>
      <c r="B393" s="3">
        <v>3</v>
      </c>
      <c r="C393" s="34" t="s">
        <v>125</v>
      </c>
      <c r="D393" s="2" t="s">
        <v>350</v>
      </c>
      <c r="E393" s="35">
        <f>SUM(E394:E394)</f>
        <v>0</v>
      </c>
      <c r="F393" s="3" t="s">
        <v>1</v>
      </c>
    </row>
    <row r="394" spans="1:6" x14ac:dyDescent="0.25">
      <c r="A394" s="3"/>
      <c r="B394" s="3"/>
      <c r="C394" s="34"/>
      <c r="D394" s="207" t="s">
        <v>593</v>
      </c>
      <c r="E394" s="37">
        <v>0</v>
      </c>
      <c r="F394" s="36" t="s">
        <v>1</v>
      </c>
    </row>
    <row r="395" spans="1:6" x14ac:dyDescent="0.25">
      <c r="A395" s="125">
        <v>3</v>
      </c>
      <c r="B395" s="125">
        <v>4</v>
      </c>
      <c r="C395" s="125"/>
      <c r="D395" s="16" t="s">
        <v>63</v>
      </c>
      <c r="E395" s="126">
        <f>E396+E397+E400</f>
        <v>10000000</v>
      </c>
      <c r="F395" s="125"/>
    </row>
    <row r="396" spans="1:6" ht="16.5" hidden="1" customHeight="1" x14ac:dyDescent="0.25">
      <c r="A396" s="5">
        <v>3</v>
      </c>
      <c r="B396" s="5">
        <v>4</v>
      </c>
      <c r="C396" s="53" t="s">
        <v>85</v>
      </c>
      <c r="D396" s="12" t="s">
        <v>352</v>
      </c>
      <c r="E396" s="54"/>
      <c r="F396" s="46"/>
    </row>
    <row r="397" spans="1:6" ht="20.25" customHeight="1" x14ac:dyDescent="0.25">
      <c r="A397" s="5">
        <v>3</v>
      </c>
      <c r="B397" s="5">
        <v>4</v>
      </c>
      <c r="C397" s="47" t="s">
        <v>89</v>
      </c>
      <c r="D397" s="12" t="s">
        <v>64</v>
      </c>
      <c r="E397" s="54">
        <f>SUM(E398:E399)</f>
        <v>5000000</v>
      </c>
      <c r="F397" s="5" t="s">
        <v>2</v>
      </c>
    </row>
    <row r="398" spans="1:6" ht="14.25" hidden="1" customHeight="1" x14ac:dyDescent="0.25">
      <c r="A398" s="5"/>
      <c r="B398" s="5"/>
      <c r="C398" s="47"/>
      <c r="D398" s="71" t="s">
        <v>353</v>
      </c>
      <c r="E398" s="50">
        <v>0</v>
      </c>
      <c r="F398" s="42" t="s">
        <v>0</v>
      </c>
    </row>
    <row r="399" spans="1:6" ht="11.25" customHeight="1" x14ac:dyDescent="0.25">
      <c r="A399" s="5"/>
      <c r="B399" s="5"/>
      <c r="C399" s="47"/>
      <c r="D399" s="71" t="s">
        <v>353</v>
      </c>
      <c r="E399" s="50">
        <v>5000000</v>
      </c>
      <c r="F399" s="42" t="s">
        <v>2</v>
      </c>
    </row>
    <row r="400" spans="1:6" x14ac:dyDescent="0.25">
      <c r="A400" s="5">
        <v>3</v>
      </c>
      <c r="B400" s="5">
        <v>4</v>
      </c>
      <c r="C400" s="53" t="s">
        <v>98</v>
      </c>
      <c r="D400" s="127" t="s">
        <v>65</v>
      </c>
      <c r="E400" s="54">
        <f>SUM(E401:E402)</f>
        <v>5000000</v>
      </c>
      <c r="F400" s="5"/>
    </row>
    <row r="401" spans="1:7" x14ac:dyDescent="0.25">
      <c r="A401" s="5"/>
      <c r="B401" s="5"/>
      <c r="C401" s="47"/>
      <c r="D401" s="71" t="s">
        <v>354</v>
      </c>
      <c r="E401" s="50">
        <v>5000000</v>
      </c>
      <c r="F401" s="42" t="s">
        <v>1</v>
      </c>
    </row>
    <row r="402" spans="1:7" hidden="1" x14ac:dyDescent="0.25">
      <c r="A402" s="5"/>
      <c r="B402" s="5"/>
      <c r="C402" s="47"/>
      <c r="D402" s="71"/>
      <c r="E402" s="50">
        <v>0</v>
      </c>
      <c r="F402" s="42" t="s">
        <v>6</v>
      </c>
    </row>
    <row r="403" spans="1:7" x14ac:dyDescent="0.25">
      <c r="A403" s="128">
        <v>4</v>
      </c>
      <c r="B403" s="129"/>
      <c r="C403" s="129"/>
      <c r="D403" s="14" t="s">
        <v>66</v>
      </c>
      <c r="E403" s="130">
        <f>E404+E409+E422+E427+E435+E442+E446</f>
        <v>81000000</v>
      </c>
      <c r="F403" s="129"/>
    </row>
    <row r="404" spans="1:7" hidden="1" x14ac:dyDescent="0.25">
      <c r="A404" s="125">
        <v>4</v>
      </c>
      <c r="B404" s="125">
        <v>1</v>
      </c>
      <c r="C404" s="125"/>
      <c r="D404" s="16" t="s">
        <v>355</v>
      </c>
      <c r="E404" s="126">
        <f>E405+E407</f>
        <v>0</v>
      </c>
      <c r="F404" s="125" t="s">
        <v>3</v>
      </c>
    </row>
    <row r="405" spans="1:7" hidden="1" x14ac:dyDescent="0.25">
      <c r="A405" s="5">
        <v>4</v>
      </c>
      <c r="B405" s="5">
        <v>1</v>
      </c>
      <c r="C405" s="53" t="s">
        <v>122</v>
      </c>
      <c r="D405" s="12" t="s">
        <v>356</v>
      </c>
      <c r="E405" s="75">
        <v>0</v>
      </c>
      <c r="F405" s="46"/>
    </row>
    <row r="406" spans="1:7" hidden="1" x14ac:dyDescent="0.25">
      <c r="A406" s="5"/>
      <c r="B406" s="5"/>
      <c r="C406" s="53"/>
      <c r="D406" s="12"/>
      <c r="E406" s="75"/>
      <c r="F406" s="46"/>
    </row>
    <row r="407" spans="1:7" ht="30" hidden="1" x14ac:dyDescent="0.25">
      <c r="A407" s="3">
        <v>4</v>
      </c>
      <c r="B407" s="3">
        <v>1</v>
      </c>
      <c r="C407" s="34" t="s">
        <v>125</v>
      </c>
      <c r="D407" s="2" t="s">
        <v>357</v>
      </c>
      <c r="E407" s="109">
        <f>SUM(E408:E408)</f>
        <v>0</v>
      </c>
      <c r="F407" s="97"/>
    </row>
    <row r="408" spans="1:7" hidden="1" x14ac:dyDescent="0.25">
      <c r="A408" s="5"/>
      <c r="B408" s="5"/>
      <c r="C408" s="53"/>
      <c r="D408" s="12"/>
      <c r="E408" s="75"/>
      <c r="F408" s="46"/>
    </row>
    <row r="409" spans="1:7" x14ac:dyDescent="0.25">
      <c r="A409" s="125">
        <v>4</v>
      </c>
      <c r="B409" s="125">
        <v>2</v>
      </c>
      <c r="C409" s="131"/>
      <c r="D409" s="16" t="s">
        <v>67</v>
      </c>
      <c r="E409" s="126">
        <f>E410+E412+E416+E418</f>
        <v>70000000</v>
      </c>
      <c r="F409" s="125" t="s">
        <v>3</v>
      </c>
    </row>
    <row r="410" spans="1:7" ht="30" x14ac:dyDescent="0.25">
      <c r="A410" s="3">
        <v>4</v>
      </c>
      <c r="B410" s="97">
        <v>2</v>
      </c>
      <c r="C410" s="132" t="s">
        <v>85</v>
      </c>
      <c r="D410" s="107" t="s">
        <v>358</v>
      </c>
      <c r="E410" s="35">
        <f>E411</f>
        <v>20000000</v>
      </c>
      <c r="F410" s="46"/>
    </row>
    <row r="411" spans="1:7" x14ac:dyDescent="0.25">
      <c r="A411" s="5"/>
      <c r="B411" s="46"/>
      <c r="C411" s="47"/>
      <c r="D411" s="71" t="s">
        <v>359</v>
      </c>
      <c r="E411" s="37">
        <v>20000000</v>
      </c>
      <c r="F411" s="36" t="s">
        <v>3</v>
      </c>
      <c r="G411" s="173">
        <f>E411/50000</f>
        <v>400</v>
      </c>
    </row>
    <row r="412" spans="1:7" ht="30" x14ac:dyDescent="0.25">
      <c r="A412" s="3">
        <v>4</v>
      </c>
      <c r="B412" s="3">
        <v>2</v>
      </c>
      <c r="C412" s="34" t="s">
        <v>89</v>
      </c>
      <c r="D412" s="2" t="s">
        <v>68</v>
      </c>
      <c r="E412" s="35">
        <f>SUM(E413:E415)</f>
        <v>50000000</v>
      </c>
      <c r="F412" s="76" t="s">
        <v>3</v>
      </c>
    </row>
    <row r="413" spans="1:7" x14ac:dyDescent="0.25">
      <c r="A413" s="3"/>
      <c r="B413" s="97"/>
      <c r="C413" s="132"/>
      <c r="D413" s="43" t="s">
        <v>421</v>
      </c>
      <c r="E413" s="50">
        <v>50000000</v>
      </c>
      <c r="F413" s="42"/>
    </row>
    <row r="414" spans="1:7" hidden="1" x14ac:dyDescent="0.25">
      <c r="A414" s="133"/>
      <c r="B414" s="134"/>
      <c r="C414" s="135"/>
      <c r="D414" s="136" t="s">
        <v>360</v>
      </c>
      <c r="E414" s="137">
        <v>0</v>
      </c>
      <c r="F414" s="138"/>
    </row>
    <row r="415" spans="1:7" hidden="1" x14ac:dyDescent="0.25">
      <c r="A415" s="5"/>
      <c r="B415" s="46"/>
      <c r="C415" s="47"/>
      <c r="D415" s="71" t="s">
        <v>361</v>
      </c>
      <c r="E415" s="50">
        <v>0</v>
      </c>
      <c r="F415" s="42"/>
    </row>
    <row r="416" spans="1:7" hidden="1" x14ac:dyDescent="0.25">
      <c r="A416" s="3">
        <v>4</v>
      </c>
      <c r="B416" s="97">
        <v>2</v>
      </c>
      <c r="C416" s="132" t="s">
        <v>98</v>
      </c>
      <c r="D416" s="107" t="s">
        <v>362</v>
      </c>
      <c r="E416" s="35">
        <f>E417</f>
        <v>0</v>
      </c>
      <c r="F416" s="3" t="s">
        <v>3</v>
      </c>
    </row>
    <row r="417" spans="1:6" hidden="1" x14ac:dyDescent="0.25">
      <c r="A417" s="5"/>
      <c r="B417" s="46"/>
      <c r="C417" s="47"/>
      <c r="D417" s="71" t="s">
        <v>363</v>
      </c>
      <c r="E417" s="50">
        <v>0</v>
      </c>
      <c r="F417" s="42" t="s">
        <v>3</v>
      </c>
    </row>
    <row r="418" spans="1:6" ht="30" hidden="1" x14ac:dyDescent="0.25">
      <c r="A418" s="3">
        <v>4</v>
      </c>
      <c r="B418" s="97">
        <v>2</v>
      </c>
      <c r="C418" s="132" t="s">
        <v>122</v>
      </c>
      <c r="D418" s="107" t="s">
        <v>364</v>
      </c>
      <c r="E418" s="35">
        <f>SUM(E419:E421)</f>
        <v>0</v>
      </c>
      <c r="F418" s="76" t="s">
        <v>3</v>
      </c>
    </row>
    <row r="419" spans="1:6" hidden="1" x14ac:dyDescent="0.25">
      <c r="A419" s="5"/>
      <c r="B419" s="46"/>
      <c r="C419" s="47"/>
      <c r="D419" s="71" t="s">
        <v>365</v>
      </c>
      <c r="E419" s="50">
        <v>0</v>
      </c>
      <c r="F419" s="42"/>
    </row>
    <row r="420" spans="1:6" hidden="1" x14ac:dyDescent="0.25">
      <c r="A420" s="5"/>
      <c r="B420" s="46"/>
      <c r="C420" s="47"/>
      <c r="D420" s="71"/>
      <c r="E420" s="50"/>
      <c r="F420" s="42"/>
    </row>
    <row r="421" spans="1:6" hidden="1" x14ac:dyDescent="0.25">
      <c r="A421" s="5"/>
      <c r="B421" s="46"/>
      <c r="C421" s="47"/>
      <c r="D421" s="71"/>
      <c r="E421" s="50"/>
      <c r="F421" s="42"/>
    </row>
    <row r="422" spans="1:6" x14ac:dyDescent="0.25">
      <c r="A422" s="125">
        <v>4</v>
      </c>
      <c r="B422" s="125">
        <v>3</v>
      </c>
      <c r="C422" s="125"/>
      <c r="D422" s="16" t="s">
        <v>69</v>
      </c>
      <c r="E422" s="126">
        <f>SUM(E423:E426)</f>
        <v>6000000</v>
      </c>
      <c r="F422" s="125" t="s">
        <v>0</v>
      </c>
    </row>
    <row r="423" spans="1:6" x14ac:dyDescent="0.25">
      <c r="A423" s="5">
        <v>4</v>
      </c>
      <c r="B423" s="5">
        <v>3</v>
      </c>
      <c r="C423" s="47" t="s">
        <v>85</v>
      </c>
      <c r="D423" s="17" t="s">
        <v>70</v>
      </c>
      <c r="E423" s="91">
        <v>2000000</v>
      </c>
      <c r="F423" s="46" t="s">
        <v>0</v>
      </c>
    </row>
    <row r="424" spans="1:6" x14ac:dyDescent="0.25">
      <c r="A424" s="5">
        <v>4</v>
      </c>
      <c r="B424" s="5">
        <v>3</v>
      </c>
      <c r="C424" s="47" t="s">
        <v>89</v>
      </c>
      <c r="D424" s="17" t="s">
        <v>71</v>
      </c>
      <c r="E424" s="91">
        <v>1000000</v>
      </c>
      <c r="F424" s="46" t="s">
        <v>0</v>
      </c>
    </row>
    <row r="425" spans="1:6" x14ac:dyDescent="0.25">
      <c r="A425" s="5"/>
      <c r="B425" s="5"/>
      <c r="C425" s="47"/>
      <c r="D425" s="17" t="s">
        <v>71</v>
      </c>
      <c r="E425" s="91">
        <v>1500000</v>
      </c>
      <c r="F425" s="46" t="s">
        <v>1</v>
      </c>
    </row>
    <row r="426" spans="1:6" x14ac:dyDescent="0.25">
      <c r="A426" s="5">
        <v>4</v>
      </c>
      <c r="B426" s="5">
        <v>3</v>
      </c>
      <c r="C426" s="47" t="s">
        <v>98</v>
      </c>
      <c r="D426" s="17" t="s">
        <v>72</v>
      </c>
      <c r="E426" s="91">
        <v>1500000</v>
      </c>
      <c r="F426" s="46" t="s">
        <v>1</v>
      </c>
    </row>
    <row r="427" spans="1:6" ht="30" x14ac:dyDescent="0.25">
      <c r="A427" s="121">
        <v>4</v>
      </c>
      <c r="B427" s="121">
        <v>4</v>
      </c>
      <c r="C427" s="139"/>
      <c r="D427" s="140" t="s">
        <v>73</v>
      </c>
      <c r="E427" s="122">
        <f>E428+E431+E433</f>
        <v>5000000</v>
      </c>
      <c r="F427" s="121" t="s">
        <v>3</v>
      </c>
    </row>
    <row r="428" spans="1:6" x14ac:dyDescent="0.25">
      <c r="A428" s="5">
        <v>4</v>
      </c>
      <c r="B428" s="5">
        <v>4</v>
      </c>
      <c r="C428" s="47" t="s">
        <v>85</v>
      </c>
      <c r="D428" s="12" t="s">
        <v>74</v>
      </c>
      <c r="E428" s="54">
        <f>SUM(E429:E430)</f>
        <v>5000000</v>
      </c>
      <c r="F428" s="46" t="s">
        <v>3</v>
      </c>
    </row>
    <row r="429" spans="1:6" ht="14.25" customHeight="1" x14ac:dyDescent="0.25">
      <c r="A429" s="5"/>
      <c r="B429" s="5"/>
      <c r="C429" s="47"/>
      <c r="D429" s="71" t="s">
        <v>366</v>
      </c>
      <c r="E429" s="50">
        <v>5000000</v>
      </c>
      <c r="F429" s="42" t="s">
        <v>3</v>
      </c>
    </row>
    <row r="430" spans="1:6" hidden="1" x14ac:dyDescent="0.25">
      <c r="A430" s="5"/>
      <c r="B430" s="5"/>
      <c r="C430" s="47"/>
      <c r="D430" s="71"/>
      <c r="E430" s="50"/>
      <c r="F430" s="42"/>
    </row>
    <row r="431" spans="1:6" hidden="1" x14ac:dyDescent="0.25">
      <c r="A431" s="5">
        <v>4</v>
      </c>
      <c r="B431" s="5">
        <v>4</v>
      </c>
      <c r="C431" s="47" t="s">
        <v>89</v>
      </c>
      <c r="D431" s="12" t="s">
        <v>367</v>
      </c>
      <c r="E431" s="54">
        <f>E432</f>
        <v>0</v>
      </c>
      <c r="F431" s="46" t="s">
        <v>3</v>
      </c>
    </row>
    <row r="432" spans="1:6" hidden="1" x14ac:dyDescent="0.25">
      <c r="A432" s="5"/>
      <c r="B432" s="5"/>
      <c r="C432" s="47"/>
      <c r="D432" s="71"/>
      <c r="E432" s="50"/>
      <c r="F432" s="42"/>
    </row>
    <row r="433" spans="1:6" hidden="1" x14ac:dyDescent="0.25">
      <c r="A433" s="5">
        <v>4</v>
      </c>
      <c r="B433" s="5">
        <v>4</v>
      </c>
      <c r="C433" s="47" t="s">
        <v>98</v>
      </c>
      <c r="D433" s="12" t="s">
        <v>368</v>
      </c>
      <c r="E433" s="54">
        <f>SUM(E434)</f>
        <v>0</v>
      </c>
      <c r="F433" s="46" t="s">
        <v>3</v>
      </c>
    </row>
    <row r="434" spans="1:6" hidden="1" x14ac:dyDescent="0.25">
      <c r="A434" s="5"/>
      <c r="B434" s="5"/>
      <c r="C434" s="47"/>
      <c r="D434" s="12"/>
      <c r="E434" s="54"/>
      <c r="F434" s="46"/>
    </row>
    <row r="435" spans="1:6" hidden="1" x14ac:dyDescent="0.25">
      <c r="A435" s="125">
        <v>4</v>
      </c>
      <c r="B435" s="125">
        <v>5</v>
      </c>
      <c r="C435" s="125"/>
      <c r="D435" s="16" t="s">
        <v>369</v>
      </c>
      <c r="E435" s="126">
        <f>E436+E438+E440</f>
        <v>0</v>
      </c>
      <c r="F435" s="125" t="s">
        <v>3</v>
      </c>
    </row>
    <row r="436" spans="1:6" hidden="1" x14ac:dyDescent="0.25">
      <c r="A436" s="3">
        <v>4</v>
      </c>
      <c r="B436" s="3">
        <v>5</v>
      </c>
      <c r="C436" s="132" t="s">
        <v>85</v>
      </c>
      <c r="D436" s="2" t="s">
        <v>370</v>
      </c>
      <c r="E436" s="35">
        <f>E437</f>
        <v>0</v>
      </c>
      <c r="F436" s="97"/>
    </row>
    <row r="437" spans="1:6" hidden="1" x14ac:dyDescent="0.25">
      <c r="A437" s="5"/>
      <c r="B437" s="5"/>
      <c r="C437" s="47"/>
      <c r="D437" s="12"/>
      <c r="E437" s="54"/>
      <c r="F437" s="46"/>
    </row>
    <row r="438" spans="1:6" hidden="1" x14ac:dyDescent="0.25">
      <c r="A438" s="3">
        <v>4</v>
      </c>
      <c r="B438" s="3">
        <v>5</v>
      </c>
      <c r="C438" s="132" t="s">
        <v>89</v>
      </c>
      <c r="D438" s="2" t="s">
        <v>371</v>
      </c>
      <c r="E438" s="35">
        <f>E439</f>
        <v>0</v>
      </c>
      <c r="F438" s="97"/>
    </row>
    <row r="439" spans="1:6" hidden="1" x14ac:dyDescent="0.25">
      <c r="A439" s="3"/>
      <c r="B439" s="3"/>
      <c r="C439" s="132"/>
      <c r="D439" s="2"/>
      <c r="E439" s="35"/>
      <c r="F439" s="97"/>
    </row>
    <row r="440" spans="1:6" ht="30" hidden="1" x14ac:dyDescent="0.25">
      <c r="A440" s="3">
        <v>4</v>
      </c>
      <c r="B440" s="3">
        <v>5</v>
      </c>
      <c r="C440" s="132" t="s">
        <v>98</v>
      </c>
      <c r="D440" s="2" t="s">
        <v>372</v>
      </c>
      <c r="E440" s="35">
        <f>E441</f>
        <v>0</v>
      </c>
      <c r="F440" s="97"/>
    </row>
    <row r="441" spans="1:6" hidden="1" x14ac:dyDescent="0.25">
      <c r="A441" s="3"/>
      <c r="B441" s="3"/>
      <c r="C441" s="132"/>
      <c r="D441" s="2"/>
      <c r="E441" s="35"/>
      <c r="F441" s="97"/>
    </row>
    <row r="442" spans="1:6" hidden="1" x14ac:dyDescent="0.25">
      <c r="A442" s="125">
        <v>4</v>
      </c>
      <c r="B442" s="125">
        <v>6</v>
      </c>
      <c r="C442" s="125"/>
      <c r="D442" s="16" t="s">
        <v>373</v>
      </c>
      <c r="E442" s="126">
        <f>E443</f>
        <v>0</v>
      </c>
      <c r="F442" s="125" t="s">
        <v>3</v>
      </c>
    </row>
    <row r="443" spans="1:6" hidden="1" x14ac:dyDescent="0.25">
      <c r="A443" s="3">
        <v>4</v>
      </c>
      <c r="B443" s="3">
        <v>6</v>
      </c>
      <c r="C443" s="132" t="s">
        <v>89</v>
      </c>
      <c r="D443" s="2" t="s">
        <v>374</v>
      </c>
      <c r="E443" s="109">
        <f>SUM(E444:E445)</f>
        <v>0</v>
      </c>
      <c r="F443" s="97"/>
    </row>
    <row r="444" spans="1:6" hidden="1" x14ac:dyDescent="0.25">
      <c r="A444" s="5"/>
      <c r="B444" s="5"/>
      <c r="C444" s="46"/>
      <c r="D444" s="12"/>
      <c r="E444" s="75"/>
      <c r="F444" s="46"/>
    </row>
    <row r="445" spans="1:6" hidden="1" x14ac:dyDescent="0.25">
      <c r="A445" s="5"/>
      <c r="B445" s="5"/>
      <c r="C445" s="47"/>
      <c r="D445" s="71"/>
      <c r="E445" s="50"/>
      <c r="F445" s="42"/>
    </row>
    <row r="446" spans="1:6" hidden="1" x14ac:dyDescent="0.25">
      <c r="A446" s="125">
        <v>4</v>
      </c>
      <c r="B446" s="125">
        <v>7</v>
      </c>
      <c r="C446" s="125"/>
      <c r="D446" s="16" t="s">
        <v>375</v>
      </c>
      <c r="E446" s="126">
        <f>E447+E450</f>
        <v>0</v>
      </c>
      <c r="F446" s="125"/>
    </row>
    <row r="447" spans="1:6" ht="30" hidden="1" x14ac:dyDescent="0.25">
      <c r="A447" s="3">
        <v>4</v>
      </c>
      <c r="B447" s="3">
        <v>7</v>
      </c>
      <c r="C447" s="34" t="s">
        <v>89</v>
      </c>
      <c r="D447" s="2" t="s">
        <v>376</v>
      </c>
      <c r="E447" s="35">
        <f>SUM(E448:E449)</f>
        <v>0</v>
      </c>
      <c r="F447" s="3" t="s">
        <v>3</v>
      </c>
    </row>
    <row r="448" spans="1:6" hidden="1" x14ac:dyDescent="0.25">
      <c r="A448" s="46"/>
      <c r="B448" s="46"/>
      <c r="C448" s="46"/>
      <c r="D448" s="71" t="s">
        <v>565</v>
      </c>
      <c r="E448" s="51">
        <v>0</v>
      </c>
      <c r="F448" s="42" t="s">
        <v>3</v>
      </c>
    </row>
    <row r="449" spans="1:9" hidden="1" x14ac:dyDescent="0.25">
      <c r="A449" s="46"/>
      <c r="B449" s="46"/>
      <c r="C449" s="46"/>
      <c r="D449" s="71"/>
      <c r="E449" s="50"/>
      <c r="F449" s="42"/>
    </row>
    <row r="450" spans="1:9" ht="30" hidden="1" x14ac:dyDescent="0.25">
      <c r="A450" s="3">
        <v>4</v>
      </c>
      <c r="B450" s="3">
        <v>7</v>
      </c>
      <c r="C450" s="34" t="s">
        <v>109</v>
      </c>
      <c r="D450" s="2" t="s">
        <v>378</v>
      </c>
      <c r="E450" s="35">
        <f>SUM(E451:E452)</f>
        <v>0</v>
      </c>
      <c r="F450" s="3" t="s">
        <v>3</v>
      </c>
    </row>
    <row r="451" spans="1:9" hidden="1" x14ac:dyDescent="0.25">
      <c r="A451" s="46"/>
      <c r="B451" s="46"/>
      <c r="C451" s="46"/>
      <c r="D451" s="71" t="s">
        <v>379</v>
      </c>
      <c r="E451" s="50">
        <v>0</v>
      </c>
      <c r="F451" s="42"/>
    </row>
    <row r="452" spans="1:9" hidden="1" x14ac:dyDescent="0.25">
      <c r="A452" s="46"/>
      <c r="B452" s="46"/>
      <c r="C452" s="46"/>
      <c r="D452" s="71"/>
      <c r="E452" s="50"/>
      <c r="F452" s="42"/>
    </row>
    <row r="453" spans="1:9" ht="27" x14ac:dyDescent="0.25">
      <c r="A453" s="141">
        <v>5</v>
      </c>
      <c r="B453" s="141"/>
      <c r="C453" s="141"/>
      <c r="D453" s="18" t="s">
        <v>75</v>
      </c>
      <c r="E453" s="142">
        <f>E454+E456+E458</f>
        <v>62600000</v>
      </c>
      <c r="F453" s="141"/>
    </row>
    <row r="454" spans="1:9" x14ac:dyDescent="0.25">
      <c r="A454" s="19">
        <v>5</v>
      </c>
      <c r="B454" s="19">
        <v>1</v>
      </c>
      <c r="C454" s="19"/>
      <c r="D454" s="19" t="s">
        <v>76</v>
      </c>
      <c r="E454" s="143">
        <f>E455</f>
        <v>2500000</v>
      </c>
      <c r="F454" s="19"/>
    </row>
    <row r="455" spans="1:9" x14ac:dyDescent="0.25">
      <c r="A455" s="46">
        <v>5</v>
      </c>
      <c r="B455" s="46">
        <v>1</v>
      </c>
      <c r="C455" s="47" t="s">
        <v>380</v>
      </c>
      <c r="D455" s="46" t="s">
        <v>381</v>
      </c>
      <c r="E455" s="75">
        <v>2500000</v>
      </c>
      <c r="F455" s="46" t="s">
        <v>3</v>
      </c>
    </row>
    <row r="456" spans="1:9" x14ac:dyDescent="0.25">
      <c r="A456" s="19">
        <v>5</v>
      </c>
      <c r="B456" s="19">
        <v>2</v>
      </c>
      <c r="C456" s="19"/>
      <c r="D456" s="19" t="s">
        <v>77</v>
      </c>
      <c r="E456" s="143">
        <f>E457</f>
        <v>2500000</v>
      </c>
      <c r="F456" s="19"/>
    </row>
    <row r="457" spans="1:9" x14ac:dyDescent="0.25">
      <c r="A457" s="46">
        <v>5</v>
      </c>
      <c r="B457" s="46">
        <v>2</v>
      </c>
      <c r="C457" s="47" t="s">
        <v>380</v>
      </c>
      <c r="D457" s="46" t="s">
        <v>382</v>
      </c>
      <c r="E457" s="75">
        <v>2500000</v>
      </c>
      <c r="F457" s="46" t="s">
        <v>3</v>
      </c>
    </row>
    <row r="458" spans="1:9" x14ac:dyDescent="0.25">
      <c r="A458" s="19">
        <v>5</v>
      </c>
      <c r="B458" s="19">
        <v>3</v>
      </c>
      <c r="C458" s="19"/>
      <c r="D458" s="19" t="s">
        <v>78</v>
      </c>
      <c r="E458" s="143">
        <f>E459</f>
        <v>57600000</v>
      </c>
      <c r="F458" s="19"/>
      <c r="H458">
        <f>3600000*16</f>
        <v>57600000</v>
      </c>
      <c r="I458" s="173"/>
    </row>
    <row r="459" spans="1:9" x14ac:dyDescent="0.25">
      <c r="A459" s="46">
        <v>5</v>
      </c>
      <c r="B459" s="46">
        <v>3</v>
      </c>
      <c r="C459" s="47" t="s">
        <v>380</v>
      </c>
      <c r="D459" s="46" t="s">
        <v>383</v>
      </c>
      <c r="E459" s="75">
        <f>SUM(E460:E460)</f>
        <v>57600000</v>
      </c>
      <c r="F459" s="46" t="s">
        <v>3</v>
      </c>
      <c r="H459" s="173">
        <f>E460/M5*100</f>
        <v>4.3418710901488522</v>
      </c>
      <c r="I459" t="s">
        <v>397</v>
      </c>
    </row>
    <row r="460" spans="1:9" x14ac:dyDescent="0.25">
      <c r="A460" s="46"/>
      <c r="B460" s="46"/>
      <c r="C460" s="47"/>
      <c r="D460" s="55" t="s">
        <v>384</v>
      </c>
      <c r="E460" s="50">
        <v>57600000</v>
      </c>
      <c r="F460" s="42"/>
      <c r="H460" s="189">
        <f>E460/3600000</f>
        <v>16</v>
      </c>
      <c r="I460" t="s">
        <v>420</v>
      </c>
    </row>
    <row r="461" spans="1:9" x14ac:dyDescent="0.25">
      <c r="A461" s="144"/>
      <c r="B461" s="144"/>
      <c r="C461" s="144"/>
      <c r="D461" s="144" t="s">
        <v>385</v>
      </c>
      <c r="E461" s="145">
        <f>E462</f>
        <v>0</v>
      </c>
      <c r="F461" s="144"/>
    </row>
    <row r="462" spans="1:9" x14ac:dyDescent="0.25">
      <c r="A462" s="46"/>
      <c r="B462" s="46"/>
      <c r="C462" s="46"/>
      <c r="D462" s="46" t="s">
        <v>386</v>
      </c>
      <c r="E462" s="146">
        <v>0</v>
      </c>
      <c r="F462" s="46" t="s">
        <v>3</v>
      </c>
    </row>
    <row r="465" spans="4:5" x14ac:dyDescent="0.25">
      <c r="D465" s="192" t="s">
        <v>392</v>
      </c>
      <c r="E465" s="191">
        <f>E4+E153+E347+E403+E453</f>
        <v>2534945400</v>
      </c>
    </row>
    <row r="466" spans="4:5" x14ac:dyDescent="0.25">
      <c r="D466" s="192" t="s">
        <v>422</v>
      </c>
      <c r="E466" s="191">
        <f>E465+E461</f>
        <v>2534945400</v>
      </c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7322834645669292" header="0.31496062992125984" footer="0.31496062992125984"/>
  <pageSetup paperSize="5" scale="88" fitToHeight="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="80" zoomScaleNormal="80" workbookViewId="0">
      <selection activeCell="G18" sqref="G18"/>
    </sheetView>
  </sheetViews>
  <sheetFormatPr defaultRowHeight="15" x14ac:dyDescent="0.25"/>
  <cols>
    <col min="1" max="1" width="26" bestFit="1" customWidth="1"/>
    <col min="2" max="3" width="15.28515625" bestFit="1" customWidth="1"/>
    <col min="4" max="6" width="14.28515625" bestFit="1" customWidth="1"/>
    <col min="7" max="7" width="16.85546875" bestFit="1" customWidth="1"/>
    <col min="8" max="8" width="15.28515625" bestFit="1" customWidth="1"/>
    <col min="9" max="9" width="14.28515625" bestFit="1" customWidth="1"/>
    <col min="10" max="11" width="16.85546875" bestFit="1" customWidth="1"/>
  </cols>
  <sheetData>
    <row r="1" spans="1:11" x14ac:dyDescent="0.25">
      <c r="A1" s="387" t="s">
        <v>406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1" x14ac:dyDescent="0.25">
      <c r="A2" s="147" t="s">
        <v>387</v>
      </c>
      <c r="B2" s="148" t="s">
        <v>0</v>
      </c>
      <c r="C2" s="148" t="s">
        <v>1</v>
      </c>
      <c r="D2" s="148"/>
      <c r="E2" s="148" t="s">
        <v>2</v>
      </c>
      <c r="F2" s="148"/>
      <c r="G2" s="148" t="s">
        <v>3</v>
      </c>
      <c r="H2" s="148" t="s">
        <v>4</v>
      </c>
      <c r="I2" s="183" t="s">
        <v>5</v>
      </c>
      <c r="J2" s="183" t="s">
        <v>403</v>
      </c>
      <c r="K2" s="183" t="s">
        <v>404</v>
      </c>
    </row>
    <row r="3" spans="1:11" x14ac:dyDescent="0.25">
      <c r="A3" s="147" t="s">
        <v>407</v>
      </c>
      <c r="B3" s="155">
        <v>584464900</v>
      </c>
      <c r="C3" s="155">
        <v>104579200</v>
      </c>
      <c r="D3" s="155"/>
      <c r="E3" s="155">
        <v>31808100</v>
      </c>
      <c r="F3" s="155"/>
      <c r="G3" s="155">
        <v>912446000</v>
      </c>
      <c r="H3" s="155">
        <v>300000000</v>
      </c>
      <c r="I3" s="25">
        <v>18000000</v>
      </c>
      <c r="J3" s="25">
        <f>SUM(B3:I3)</f>
        <v>1951298200</v>
      </c>
      <c r="K3" s="25">
        <f>SUM(B3:G3)</f>
        <v>1633298200</v>
      </c>
    </row>
    <row r="4" spans="1:11" x14ac:dyDescent="0.25">
      <c r="A4" s="147" t="s">
        <v>448</v>
      </c>
      <c r="B4" s="155">
        <f>'UNTUK RKP'!I5</f>
        <v>619000000</v>
      </c>
      <c r="C4" s="155">
        <f>'UNTUK RKP'!J5</f>
        <v>132000000</v>
      </c>
      <c r="D4" s="155"/>
      <c r="E4" s="155">
        <f>'UNTUK RKP'!K5</f>
        <v>31000000</v>
      </c>
      <c r="F4" s="155"/>
      <c r="G4" s="155">
        <f>'UNTUK RKP'!M5</f>
        <v>1326617000</v>
      </c>
      <c r="H4" s="155">
        <f>'UNTUK RKP'!P5</f>
        <v>220000000</v>
      </c>
      <c r="I4" s="25">
        <f>'UNTUK RKP'!O5</f>
        <v>56400000</v>
      </c>
      <c r="J4" s="25">
        <f>SUM(B4:I4)</f>
        <v>2385017000</v>
      </c>
      <c r="K4" s="25">
        <f>SUM(B4:G4)</f>
        <v>2108617000</v>
      </c>
    </row>
    <row r="5" spans="1:11" x14ac:dyDescent="0.25">
      <c r="A5" s="147" t="s">
        <v>405</v>
      </c>
      <c r="B5" s="155">
        <f t="shared" ref="B5:K5" si="0">B6/B3*100</f>
        <v>5.9088407190919421</v>
      </c>
      <c r="C5" s="155">
        <f t="shared" si="0"/>
        <v>26.220127903062938</v>
      </c>
      <c r="D5" s="155"/>
      <c r="E5" s="155">
        <f t="shared" si="0"/>
        <v>-2.540547847875227</v>
      </c>
      <c r="F5" s="155"/>
      <c r="G5" s="155">
        <f t="shared" si="0"/>
        <v>45.391288909151882</v>
      </c>
      <c r="H5" s="155">
        <f t="shared" si="0"/>
        <v>-26.666666666666668</v>
      </c>
      <c r="I5" s="155">
        <f t="shared" si="0"/>
        <v>213.33333333333334</v>
      </c>
      <c r="J5" s="155">
        <f t="shared" si="0"/>
        <v>22.227192132909259</v>
      </c>
      <c r="K5" s="155">
        <f t="shared" si="0"/>
        <v>29.101777005570689</v>
      </c>
    </row>
    <row r="6" spans="1:11" x14ac:dyDescent="0.25">
      <c r="A6" s="147" t="s">
        <v>393</v>
      </c>
      <c r="B6" s="184">
        <f>B4-B3</f>
        <v>34535100</v>
      </c>
      <c r="C6" s="184">
        <f t="shared" ref="C6:K6" si="1">C4-C3</f>
        <v>27420800</v>
      </c>
      <c r="D6" s="184"/>
      <c r="E6" s="184">
        <f t="shared" si="1"/>
        <v>-808100</v>
      </c>
      <c r="F6" s="184"/>
      <c r="G6" s="184">
        <f t="shared" si="1"/>
        <v>414171000</v>
      </c>
      <c r="H6" s="184">
        <f t="shared" si="1"/>
        <v>-80000000</v>
      </c>
      <c r="I6" s="184">
        <f t="shared" si="1"/>
        <v>38400000</v>
      </c>
      <c r="J6" s="184">
        <f t="shared" si="1"/>
        <v>433718800</v>
      </c>
      <c r="K6" s="184">
        <f t="shared" si="1"/>
        <v>475318800</v>
      </c>
    </row>
    <row r="8" spans="1:11" x14ac:dyDescent="0.25">
      <c r="A8" s="387" t="s">
        <v>449</v>
      </c>
      <c r="B8" s="387"/>
      <c r="C8" s="387"/>
      <c r="D8" s="387"/>
      <c r="E8" s="387"/>
      <c r="F8" s="387"/>
      <c r="G8" s="387"/>
      <c r="H8" s="387"/>
      <c r="I8" s="387"/>
      <c r="J8" s="387"/>
    </row>
    <row r="9" spans="1:11" x14ac:dyDescent="0.25">
      <c r="A9" s="147" t="s">
        <v>387</v>
      </c>
      <c r="B9" s="148" t="s">
        <v>0</v>
      </c>
      <c r="C9" s="199" t="s">
        <v>1</v>
      </c>
      <c r="D9" s="199" t="s">
        <v>453</v>
      </c>
      <c r="E9" s="202" t="s">
        <v>2</v>
      </c>
      <c r="F9" s="202" t="s">
        <v>454</v>
      </c>
      <c r="G9" s="148" t="s">
        <v>3</v>
      </c>
      <c r="H9" s="148" t="s">
        <v>4</v>
      </c>
      <c r="I9" s="183" t="s">
        <v>5</v>
      </c>
      <c r="J9" s="183" t="s">
        <v>403</v>
      </c>
      <c r="K9" s="183" t="s">
        <v>404</v>
      </c>
    </row>
    <row r="10" spans="1:11" x14ac:dyDescent="0.25">
      <c r="A10" s="147" t="s">
        <v>407</v>
      </c>
      <c r="B10" s="155">
        <v>584464900</v>
      </c>
      <c r="C10" s="155">
        <v>104579200</v>
      </c>
      <c r="D10" s="155">
        <v>0</v>
      </c>
      <c r="E10" s="155">
        <v>31808100</v>
      </c>
      <c r="F10" s="155">
        <v>0</v>
      </c>
      <c r="G10" s="155">
        <v>912446000</v>
      </c>
      <c r="H10" s="155">
        <v>300000000</v>
      </c>
      <c r="I10" s="25">
        <v>18000000</v>
      </c>
      <c r="J10" s="25">
        <f>SUM(B10:I10)</f>
        <v>1951298200</v>
      </c>
      <c r="K10" s="25">
        <f>SUM(B10:G10)</f>
        <v>1633298200</v>
      </c>
    </row>
    <row r="11" spans="1:11" x14ac:dyDescent="0.25">
      <c r="A11" s="147" t="s">
        <v>450</v>
      </c>
      <c r="B11" s="155">
        <v>600882100</v>
      </c>
      <c r="C11" s="155">
        <v>119128600</v>
      </c>
      <c r="D11" s="155">
        <v>53683200</v>
      </c>
      <c r="E11" s="155">
        <v>43942800</v>
      </c>
      <c r="F11" s="155">
        <v>15101100</v>
      </c>
      <c r="G11" s="155">
        <v>872122000</v>
      </c>
      <c r="H11" s="155">
        <v>500000000</v>
      </c>
      <c r="I11" s="25">
        <v>56400000</v>
      </c>
      <c r="J11" s="25">
        <f>SUM(B11:I11)</f>
        <v>2261259800</v>
      </c>
      <c r="K11" s="25">
        <f>SUM(B11:G11)</f>
        <v>1704859800</v>
      </c>
    </row>
    <row r="12" spans="1:11" x14ac:dyDescent="0.25">
      <c r="A12" s="147" t="s">
        <v>405</v>
      </c>
      <c r="B12" s="155">
        <f>B13/B10*100</f>
        <v>2.8089283034789601</v>
      </c>
      <c r="C12" s="155">
        <f t="shared" ref="C12" si="2">C13/C10*100</f>
        <v>13.91232673418806</v>
      </c>
      <c r="D12" s="155" t="e">
        <f>D13/D10*100</f>
        <v>#DIV/0!</v>
      </c>
      <c r="E12" s="155">
        <f t="shared" ref="E12:K12" si="3">E13/E10*100</f>
        <v>38.149716581625434</v>
      </c>
      <c r="F12" s="155" t="e">
        <f t="shared" si="3"/>
        <v>#DIV/0!</v>
      </c>
      <c r="G12" s="155">
        <f t="shared" si="3"/>
        <v>-4.4193300206258783</v>
      </c>
      <c r="H12" s="155">
        <f t="shared" si="3"/>
        <v>66.666666666666657</v>
      </c>
      <c r="I12" s="155">
        <f t="shared" si="3"/>
        <v>213.33333333333334</v>
      </c>
      <c r="J12" s="155">
        <f t="shared" si="3"/>
        <v>15.884891402041983</v>
      </c>
      <c r="K12" s="155">
        <f t="shared" si="3"/>
        <v>4.3814166941468491</v>
      </c>
    </row>
    <row r="13" spans="1:11" x14ac:dyDescent="0.25">
      <c r="A13" s="147" t="s">
        <v>393</v>
      </c>
      <c r="B13" s="184">
        <f>B11-B10</f>
        <v>16417200</v>
      </c>
      <c r="C13" s="184">
        <f t="shared" ref="C13:K13" si="4">C11-C10</f>
        <v>14549400</v>
      </c>
      <c r="D13" s="184">
        <f t="shared" si="4"/>
        <v>53683200</v>
      </c>
      <c r="E13" s="184">
        <f t="shared" si="4"/>
        <v>12134700</v>
      </c>
      <c r="F13" s="184">
        <f>F11-F10</f>
        <v>15101100</v>
      </c>
      <c r="G13" s="184">
        <f t="shared" si="4"/>
        <v>-40324000</v>
      </c>
      <c r="H13" s="184">
        <f t="shared" si="4"/>
        <v>200000000</v>
      </c>
      <c r="I13" s="184">
        <f t="shared" si="4"/>
        <v>38400000</v>
      </c>
      <c r="J13" s="184">
        <f t="shared" si="4"/>
        <v>309961600</v>
      </c>
      <c r="K13" s="184">
        <f t="shared" si="4"/>
        <v>71561600</v>
      </c>
    </row>
    <row r="15" spans="1:11" x14ac:dyDescent="0.25">
      <c r="A15" s="387" t="s">
        <v>488</v>
      </c>
      <c r="B15" s="387"/>
      <c r="C15" s="387"/>
      <c r="D15" s="387"/>
      <c r="E15" s="387"/>
      <c r="F15" s="387"/>
      <c r="G15" s="387"/>
      <c r="H15" s="387"/>
      <c r="I15" s="387"/>
      <c r="J15" s="387"/>
    </row>
    <row r="16" spans="1:11" x14ac:dyDescent="0.25">
      <c r="A16" s="147" t="s">
        <v>387</v>
      </c>
      <c r="B16" s="148" t="s">
        <v>0</v>
      </c>
      <c r="C16" s="199" t="s">
        <v>1</v>
      </c>
      <c r="D16" s="199" t="s">
        <v>453</v>
      </c>
      <c r="E16" s="202" t="s">
        <v>2</v>
      </c>
      <c r="F16" s="202" t="s">
        <v>454</v>
      </c>
      <c r="G16" s="148" t="s">
        <v>3</v>
      </c>
      <c r="H16" s="148" t="s">
        <v>4</v>
      </c>
      <c r="I16" s="183" t="s">
        <v>5</v>
      </c>
      <c r="J16" s="183" t="s">
        <v>403</v>
      </c>
      <c r="K16" s="183" t="s">
        <v>404</v>
      </c>
    </row>
    <row r="17" spans="1:11" x14ac:dyDescent="0.25">
      <c r="A17" s="147" t="s">
        <v>489</v>
      </c>
      <c r="B17" s="155">
        <v>600882100</v>
      </c>
      <c r="C17" s="155">
        <v>119128600</v>
      </c>
      <c r="D17" s="155">
        <v>53683200</v>
      </c>
      <c r="E17" s="155">
        <v>43942800</v>
      </c>
      <c r="F17" s="155">
        <v>15101100</v>
      </c>
      <c r="G17" s="155">
        <v>872122000</v>
      </c>
      <c r="H17" s="155">
        <v>500000000</v>
      </c>
      <c r="I17" s="25">
        <v>56400000</v>
      </c>
      <c r="J17" s="25">
        <f>SUM(B17:I17)</f>
        <v>2261259800</v>
      </c>
      <c r="K17" s="25">
        <f>SUM(B17:G17)</f>
        <v>1704859800</v>
      </c>
    </row>
    <row r="18" spans="1:11" x14ac:dyDescent="0.25">
      <c r="A18" s="147" t="s">
        <v>490</v>
      </c>
      <c r="B18" s="155">
        <v>600882100</v>
      </c>
      <c r="C18" s="155">
        <v>128190100</v>
      </c>
      <c r="D18" s="155">
        <v>61533800</v>
      </c>
      <c r="E18" s="155">
        <v>30038700</v>
      </c>
      <c r="F18" s="155">
        <v>17309500</v>
      </c>
      <c r="G18" s="155">
        <v>1115833000</v>
      </c>
      <c r="H18" s="155">
        <v>250000000</v>
      </c>
      <c r="I18" s="25">
        <v>56400000</v>
      </c>
      <c r="J18" s="25">
        <f>SUM(B18:I18)</f>
        <v>2260187200</v>
      </c>
      <c r="K18" s="25">
        <f>SUM(B18:G18)</f>
        <v>1953787200</v>
      </c>
    </row>
    <row r="19" spans="1:11" x14ac:dyDescent="0.25">
      <c r="A19" s="147" t="s">
        <v>405</v>
      </c>
      <c r="B19" s="155">
        <f>B20/B17*100</f>
        <v>0</v>
      </c>
      <c r="C19" s="155">
        <f t="shared" ref="C19" si="5">C20/C17*100</f>
        <v>7.6064857641238115</v>
      </c>
      <c r="D19" s="155">
        <f>D20/D17*100</f>
        <v>14.623941940867907</v>
      </c>
      <c r="E19" s="155">
        <f t="shared" ref="E19:K19" si="6">E20/E17*100</f>
        <v>-31.641361042081979</v>
      </c>
      <c r="F19" s="155">
        <f t="shared" si="6"/>
        <v>14.624100231108992</v>
      </c>
      <c r="G19" s="155">
        <f>G20/G17*100</f>
        <v>27.944599494107475</v>
      </c>
      <c r="H19" s="155">
        <f t="shared" si="6"/>
        <v>-50</v>
      </c>
      <c r="I19" s="155">
        <f t="shared" si="6"/>
        <v>0</v>
      </c>
      <c r="J19" s="155">
        <f t="shared" si="6"/>
        <v>-4.7433735831681083E-2</v>
      </c>
      <c r="K19" s="155">
        <f t="shared" si="6"/>
        <v>14.601048133107486</v>
      </c>
    </row>
    <row r="20" spans="1:11" x14ac:dyDescent="0.25">
      <c r="A20" s="147" t="s">
        <v>393</v>
      </c>
      <c r="B20" s="184">
        <f>B18-B17</f>
        <v>0</v>
      </c>
      <c r="C20" s="184">
        <f t="shared" ref="C20:K20" si="7">C18-C17</f>
        <v>9061500</v>
      </c>
      <c r="D20" s="184">
        <f t="shared" si="7"/>
        <v>7850600</v>
      </c>
      <c r="E20" s="184">
        <f t="shared" si="7"/>
        <v>-13904100</v>
      </c>
      <c r="F20" s="184">
        <f t="shared" si="7"/>
        <v>2208400</v>
      </c>
      <c r="G20" s="184">
        <f>G18-G17</f>
        <v>243711000</v>
      </c>
      <c r="H20" s="184">
        <f t="shared" si="7"/>
        <v>-250000000</v>
      </c>
      <c r="I20" s="184">
        <f t="shared" si="7"/>
        <v>0</v>
      </c>
      <c r="J20" s="184">
        <f t="shared" si="7"/>
        <v>-1072600</v>
      </c>
      <c r="K20" s="184">
        <f t="shared" si="7"/>
        <v>248927400</v>
      </c>
    </row>
    <row r="23" spans="1:11" x14ac:dyDescent="0.25">
      <c r="C23" s="1">
        <f>C17+D17</f>
        <v>172811800</v>
      </c>
      <c r="F23" s="1">
        <f>E17+F17</f>
        <v>59043900</v>
      </c>
    </row>
    <row r="24" spans="1:11" x14ac:dyDescent="0.25">
      <c r="C24" s="1">
        <f>C18+D18</f>
        <v>189723900</v>
      </c>
      <c r="F24" s="1">
        <f>E18+F18</f>
        <v>47348200</v>
      </c>
    </row>
    <row r="27" spans="1:11" x14ac:dyDescent="0.25">
      <c r="H27" s="1">
        <f>SUM(B11:G11)</f>
        <v>1704859800</v>
      </c>
    </row>
    <row r="28" spans="1:11" x14ac:dyDescent="0.25">
      <c r="C28" s="200">
        <f>SUM(C11:D11)</f>
        <v>172811800</v>
      </c>
      <c r="D28" s="193"/>
      <c r="E28" s="201">
        <f>SUM(E11:F11)</f>
        <v>59043900</v>
      </c>
      <c r="F28" s="203"/>
      <c r="G28" t="s">
        <v>451</v>
      </c>
      <c r="H28">
        <v>53683200</v>
      </c>
    </row>
    <row r="29" spans="1:11" x14ac:dyDescent="0.25">
      <c r="G29" t="s">
        <v>452</v>
      </c>
      <c r="H29">
        <v>15101100</v>
      </c>
    </row>
    <row r="30" spans="1:11" x14ac:dyDescent="0.25">
      <c r="H30" s="1">
        <f>SUM(H27:H29)</f>
        <v>1773644100</v>
      </c>
    </row>
    <row r="31" spans="1:11" x14ac:dyDescent="0.25">
      <c r="A31" s="387" t="s">
        <v>531</v>
      </c>
      <c r="B31" s="387"/>
      <c r="C31" s="387"/>
      <c r="D31" s="387"/>
      <c r="E31" s="387"/>
      <c r="F31" s="387"/>
      <c r="G31" s="387"/>
      <c r="H31" s="387"/>
      <c r="I31" s="387"/>
      <c r="J31" s="387"/>
    </row>
    <row r="32" spans="1:11" x14ac:dyDescent="0.25">
      <c r="A32" s="147" t="s">
        <v>387</v>
      </c>
      <c r="B32" s="148" t="s">
        <v>0</v>
      </c>
      <c r="C32" s="199" t="s">
        <v>1</v>
      </c>
      <c r="D32" s="199" t="s">
        <v>453</v>
      </c>
      <c r="E32" s="202" t="s">
        <v>2</v>
      </c>
      <c r="F32" s="202" t="s">
        <v>454</v>
      </c>
      <c r="G32" s="148" t="s">
        <v>3</v>
      </c>
      <c r="H32" s="148" t="s">
        <v>4</v>
      </c>
      <c r="I32" s="183" t="s">
        <v>5</v>
      </c>
      <c r="J32" s="183" t="s">
        <v>403</v>
      </c>
      <c r="K32" s="183" t="s">
        <v>404</v>
      </c>
    </row>
    <row r="33" spans="1:11" x14ac:dyDescent="0.25">
      <c r="A33" s="147" t="s">
        <v>490</v>
      </c>
      <c r="B33" s="155">
        <f>B18</f>
        <v>600882100</v>
      </c>
      <c r="C33" s="155">
        <f t="shared" ref="C33:I33" si="8">C18</f>
        <v>128190100</v>
      </c>
      <c r="D33" s="155">
        <f t="shared" si="8"/>
        <v>61533800</v>
      </c>
      <c r="E33" s="155">
        <f t="shared" si="8"/>
        <v>30038700</v>
      </c>
      <c r="F33" s="155">
        <f t="shared" si="8"/>
        <v>17309500</v>
      </c>
      <c r="G33" s="155">
        <f t="shared" si="8"/>
        <v>1115833000</v>
      </c>
      <c r="H33" s="155">
        <f t="shared" si="8"/>
        <v>250000000</v>
      </c>
      <c r="I33" s="155">
        <f t="shared" si="8"/>
        <v>56400000</v>
      </c>
      <c r="J33" s="25">
        <f>SUM(B33:I33)</f>
        <v>2260187200</v>
      </c>
      <c r="K33" s="25">
        <f>SUM(B33:G33)</f>
        <v>1953787200</v>
      </c>
    </row>
    <row r="34" spans="1:11" x14ac:dyDescent="0.25">
      <c r="A34" s="147" t="s">
        <v>532</v>
      </c>
      <c r="B34" s="155">
        <v>619000000</v>
      </c>
      <c r="C34" s="155">
        <v>132000000</v>
      </c>
      <c r="D34" s="155">
        <v>63379800</v>
      </c>
      <c r="E34" s="155">
        <v>31000000</v>
      </c>
      <c r="F34" s="155">
        <v>17828700</v>
      </c>
      <c r="G34" s="155">
        <v>1326617000</v>
      </c>
      <c r="H34" s="155">
        <v>220000000</v>
      </c>
      <c r="I34" s="25">
        <v>56400000</v>
      </c>
      <c r="J34" s="25">
        <f>SUM(B34:I34)</f>
        <v>2466225500</v>
      </c>
      <c r="K34" s="25">
        <f>SUM(B34:G34)</f>
        <v>2189825500</v>
      </c>
    </row>
    <row r="35" spans="1:11" x14ac:dyDescent="0.25">
      <c r="A35" s="147" t="s">
        <v>405</v>
      </c>
      <c r="B35" s="155">
        <f>B36/B33*100</f>
        <v>3.0152171282852325</v>
      </c>
      <c r="C35" s="155">
        <f>C36/C33*100</f>
        <v>2.9720703860906577</v>
      </c>
      <c r="D35" s="155">
        <f t="shared" ref="D35:G35" si="9">D36/D33*100</f>
        <v>2.999977248276557</v>
      </c>
      <c r="E35" s="155">
        <f t="shared" si="9"/>
        <v>3.2002050687945887</v>
      </c>
      <c r="F35" s="155">
        <f t="shared" si="9"/>
        <v>2.9995089401773591</v>
      </c>
      <c r="G35" s="155">
        <f t="shared" si="9"/>
        <v>18.890281968717542</v>
      </c>
      <c r="H35" s="155">
        <f t="shared" ref="H35:K35" si="10">H36/H33*100</f>
        <v>-12</v>
      </c>
      <c r="I35" s="155">
        <f t="shared" si="10"/>
        <v>0</v>
      </c>
      <c r="J35" s="155">
        <f t="shared" si="10"/>
        <v>9.115983844170076</v>
      </c>
      <c r="K35" s="155">
        <f t="shared" si="10"/>
        <v>12.081064918431238</v>
      </c>
    </row>
    <row r="36" spans="1:11" x14ac:dyDescent="0.25">
      <c r="A36" s="147" t="s">
        <v>393</v>
      </c>
      <c r="B36" s="184">
        <f>B34-B33</f>
        <v>18117900</v>
      </c>
      <c r="C36" s="184">
        <f t="shared" ref="C36:F36" si="11">C34-C33</f>
        <v>3809900</v>
      </c>
      <c r="D36" s="184">
        <f t="shared" si="11"/>
        <v>1846000</v>
      </c>
      <c r="E36" s="184">
        <f t="shared" si="11"/>
        <v>961300</v>
      </c>
      <c r="F36" s="184">
        <f t="shared" si="11"/>
        <v>519200</v>
      </c>
      <c r="G36" s="184">
        <f>G34-G33</f>
        <v>210784000</v>
      </c>
      <c r="H36" s="184">
        <f t="shared" ref="H36:K36" si="12">H34-H33</f>
        <v>-30000000</v>
      </c>
      <c r="I36" s="184">
        <f t="shared" si="12"/>
        <v>0</v>
      </c>
      <c r="J36" s="184">
        <f t="shared" si="12"/>
        <v>206038300</v>
      </c>
      <c r="K36" s="184">
        <f t="shared" si="12"/>
        <v>236038300</v>
      </c>
    </row>
    <row r="38" spans="1:11" x14ac:dyDescent="0.25">
      <c r="D38" s="1">
        <f>C34+E34</f>
        <v>163000000</v>
      </c>
    </row>
    <row r="41" spans="1:11" x14ac:dyDescent="0.25">
      <c r="B41" s="1">
        <f>B33*3%+B33</f>
        <v>618908563</v>
      </c>
      <c r="C41" s="1">
        <f t="shared" ref="C41:G41" si="13">C33*3%+C33</f>
        <v>132035803</v>
      </c>
      <c r="D41" s="1">
        <f t="shared" si="13"/>
        <v>63379814</v>
      </c>
      <c r="E41" s="1">
        <f t="shared" si="13"/>
        <v>30939861</v>
      </c>
      <c r="F41" s="1">
        <f t="shared" si="13"/>
        <v>17828785</v>
      </c>
      <c r="G41" s="1">
        <f t="shared" si="13"/>
        <v>1149307990</v>
      </c>
    </row>
    <row r="42" spans="1:11" x14ac:dyDescent="0.25">
      <c r="A42" s="387" t="s">
        <v>594</v>
      </c>
      <c r="B42" s="387"/>
      <c r="C42" s="387"/>
      <c r="D42" s="387"/>
      <c r="E42" s="387"/>
      <c r="F42" s="387"/>
      <c r="G42" s="387"/>
      <c r="H42" s="387"/>
      <c r="I42" s="387"/>
      <c r="J42" s="387"/>
    </row>
    <row r="43" spans="1:11" x14ac:dyDescent="0.25">
      <c r="A43" s="147" t="s">
        <v>387</v>
      </c>
      <c r="B43" s="148" t="s">
        <v>0</v>
      </c>
      <c r="C43" s="199" t="s">
        <v>1</v>
      </c>
      <c r="D43" s="199" t="s">
        <v>453</v>
      </c>
      <c r="E43" s="202" t="s">
        <v>2</v>
      </c>
      <c r="F43" s="202" t="s">
        <v>454</v>
      </c>
      <c r="G43" s="148" t="s">
        <v>3</v>
      </c>
      <c r="H43" s="148" t="s">
        <v>4</v>
      </c>
      <c r="I43" s="183" t="s">
        <v>5</v>
      </c>
      <c r="J43" s="183" t="s">
        <v>403</v>
      </c>
      <c r="K43" s="183" t="s">
        <v>404</v>
      </c>
    </row>
    <row r="44" spans="1:11" x14ac:dyDescent="0.25">
      <c r="A44" s="147" t="s">
        <v>490</v>
      </c>
      <c r="B44" s="151">
        <v>600958400</v>
      </c>
      <c r="C44" s="151">
        <v>128190100</v>
      </c>
      <c r="D44" s="151">
        <v>61533800</v>
      </c>
      <c r="E44" s="151">
        <v>36199400</v>
      </c>
      <c r="F44" s="151">
        <v>17309500</v>
      </c>
      <c r="G44" s="151">
        <v>1115833000</v>
      </c>
      <c r="H44" s="151">
        <v>250000000</v>
      </c>
      <c r="I44" s="265">
        <v>56400000</v>
      </c>
      <c r="J44" s="265">
        <f>SUM(B44:I44)</f>
        <v>2266424200</v>
      </c>
      <c r="K44" s="268">
        <f>SUM(B44:G44)</f>
        <v>1960024200</v>
      </c>
    </row>
    <row r="45" spans="1:11" x14ac:dyDescent="0.25">
      <c r="A45" s="147" t="s">
        <v>532</v>
      </c>
      <c r="B45" s="266">
        <v>646789600</v>
      </c>
      <c r="C45" s="266">
        <v>127315316.89</v>
      </c>
      <c r="D45" s="266">
        <v>30826137.449999999</v>
      </c>
      <c r="E45" s="266">
        <v>24060856.379999999</v>
      </c>
      <c r="F45" s="266">
        <v>4710904.9000000004</v>
      </c>
      <c r="G45" s="266">
        <v>1126340000</v>
      </c>
      <c r="H45" s="266">
        <v>200000000</v>
      </c>
      <c r="I45" s="267">
        <v>56400000</v>
      </c>
      <c r="J45" s="267">
        <f>SUM(B45:I45)</f>
        <v>2216442815.6199999</v>
      </c>
      <c r="K45" s="267">
        <f>SUM(B45:G45)</f>
        <v>1960042815.6199999</v>
      </c>
    </row>
    <row r="46" spans="1:11" x14ac:dyDescent="0.25">
      <c r="A46" s="147" t="s">
        <v>405</v>
      </c>
      <c r="B46" s="155">
        <f>B47/B44*100</f>
        <v>7.6263515078581143</v>
      </c>
      <c r="C46" s="155">
        <f>C47/C44*100</f>
        <v>-0.68241081799608505</v>
      </c>
      <c r="D46" s="155">
        <f t="shared" ref="D46:K46" si="14">D47/D44*100</f>
        <v>-49.903731851437747</v>
      </c>
      <c r="E46" s="155">
        <f t="shared" si="14"/>
        <v>-33.53244423940729</v>
      </c>
      <c r="F46" s="155">
        <f t="shared" si="14"/>
        <v>-72.784280886218539</v>
      </c>
      <c r="G46" s="155">
        <f t="shared" si="14"/>
        <v>0.94162836195022026</v>
      </c>
      <c r="H46" s="155">
        <f t="shared" si="14"/>
        <v>-20</v>
      </c>
      <c r="I46" s="155">
        <f t="shared" si="14"/>
        <v>0</v>
      </c>
      <c r="J46" s="155">
        <f t="shared" si="14"/>
        <v>-2.2052969775031572</v>
      </c>
      <c r="K46" s="155">
        <f t="shared" si="14"/>
        <v>9.4976480391852091E-4</v>
      </c>
    </row>
    <row r="47" spans="1:11" x14ac:dyDescent="0.25">
      <c r="A47" s="147" t="s">
        <v>393</v>
      </c>
      <c r="B47" s="184">
        <f>B45-B44</f>
        <v>45831200</v>
      </c>
      <c r="C47" s="184">
        <f t="shared" ref="C47:F47" si="15">C45-C44</f>
        <v>-874783.1099999994</v>
      </c>
      <c r="D47" s="184">
        <f t="shared" si="15"/>
        <v>-30707662.550000001</v>
      </c>
      <c r="E47" s="184">
        <f t="shared" si="15"/>
        <v>-12138543.620000001</v>
      </c>
      <c r="F47" s="184">
        <f t="shared" si="15"/>
        <v>-12598595.1</v>
      </c>
      <c r="G47" s="184">
        <f>G45-G44</f>
        <v>10507000</v>
      </c>
      <c r="H47" s="184">
        <f t="shared" ref="H47:K47" si="16">H45-H44</f>
        <v>-50000000</v>
      </c>
      <c r="I47" s="184">
        <f t="shared" si="16"/>
        <v>0</v>
      </c>
      <c r="J47" s="184">
        <f t="shared" si="16"/>
        <v>-49981384.380000114</v>
      </c>
      <c r="K47" s="184">
        <f t="shared" si="16"/>
        <v>18615.619999885559</v>
      </c>
    </row>
    <row r="50" spans="1:11" x14ac:dyDescent="0.25">
      <c r="A50" s="387" t="s">
        <v>654</v>
      </c>
      <c r="B50" s="387"/>
      <c r="C50" s="387"/>
      <c r="D50" s="387"/>
      <c r="E50" s="387"/>
      <c r="F50" s="387"/>
      <c r="G50" s="387"/>
      <c r="H50" s="387"/>
      <c r="I50" s="387"/>
      <c r="J50" s="387"/>
    </row>
    <row r="51" spans="1:11" x14ac:dyDescent="0.25">
      <c r="A51" s="147" t="s">
        <v>387</v>
      </c>
      <c r="B51" s="148" t="s">
        <v>0</v>
      </c>
      <c r="C51" s="199" t="s">
        <v>1</v>
      </c>
      <c r="D51" s="199" t="s">
        <v>453</v>
      </c>
      <c r="E51" s="202" t="s">
        <v>2</v>
      </c>
      <c r="F51" s="202" t="s">
        <v>454</v>
      </c>
      <c r="G51" s="148" t="s">
        <v>3</v>
      </c>
      <c r="H51" s="148" t="s">
        <v>4</v>
      </c>
      <c r="I51" s="183" t="s">
        <v>5</v>
      </c>
      <c r="J51" s="183" t="s">
        <v>403</v>
      </c>
      <c r="K51" s="183" t="s">
        <v>404</v>
      </c>
    </row>
    <row r="52" spans="1:11" x14ac:dyDescent="0.25">
      <c r="A52" s="147" t="s">
        <v>532</v>
      </c>
      <c r="B52" s="266">
        <v>646789600</v>
      </c>
      <c r="C52" s="266">
        <v>127315316.89</v>
      </c>
      <c r="D52" s="266">
        <v>30826137.449999999</v>
      </c>
      <c r="E52" s="266">
        <v>24060856.379999999</v>
      </c>
      <c r="F52" s="266">
        <v>4710904.9000000004</v>
      </c>
      <c r="G52" s="266">
        <v>1126340000</v>
      </c>
      <c r="H52" s="266">
        <v>200000000</v>
      </c>
      <c r="I52" s="267">
        <v>56400000</v>
      </c>
      <c r="J52" s="265">
        <f>SUM(B52:I52)</f>
        <v>2216442815.6199999</v>
      </c>
      <c r="K52" s="268">
        <f>SUM(B52:G52)</f>
        <v>1960042815.6199999</v>
      </c>
    </row>
    <row r="53" spans="1:11" x14ac:dyDescent="0.25">
      <c r="A53" s="147" t="s">
        <v>655</v>
      </c>
      <c r="B53" s="266">
        <v>646789600</v>
      </c>
      <c r="C53" s="266">
        <v>127315316</v>
      </c>
      <c r="D53" s="266">
        <v>30826137.449999999</v>
      </c>
      <c r="E53" s="266">
        <v>24060856</v>
      </c>
      <c r="F53" s="266">
        <v>4710904.9000000004</v>
      </c>
      <c r="G53" s="266">
        <v>863354000</v>
      </c>
      <c r="H53" s="266">
        <v>200000000</v>
      </c>
      <c r="I53" s="267">
        <v>70500000</v>
      </c>
      <c r="J53" s="267">
        <f>SUM(B53:I53)</f>
        <v>1967556814.3499999</v>
      </c>
      <c r="K53" s="267">
        <f>SUM(B53:G53)</f>
        <v>1697056814.3499999</v>
      </c>
    </row>
    <row r="54" spans="1:11" x14ac:dyDescent="0.25">
      <c r="A54" s="147" t="s">
        <v>405</v>
      </c>
      <c r="B54" s="155">
        <f>B55/B52*100</f>
        <v>0</v>
      </c>
      <c r="C54" s="155">
        <f>C55/C52*100</f>
        <v>-6.9905178916139634E-7</v>
      </c>
      <c r="D54" s="155">
        <f t="shared" ref="D54:K54" si="17">D55/D52*100</f>
        <v>0</v>
      </c>
      <c r="E54" s="155">
        <f t="shared" si="17"/>
        <v>-1.5793286529601021E-6</v>
      </c>
      <c r="F54" s="155">
        <f t="shared" si="17"/>
        <v>0</v>
      </c>
      <c r="G54" s="155">
        <f t="shared" si="17"/>
        <v>-23.348722410639773</v>
      </c>
      <c r="H54" s="155">
        <f t="shared" si="17"/>
        <v>0</v>
      </c>
      <c r="I54" s="155">
        <f t="shared" si="17"/>
        <v>25</v>
      </c>
      <c r="J54" s="155">
        <f t="shared" si="17"/>
        <v>-11.229073879823051</v>
      </c>
      <c r="K54" s="155">
        <f t="shared" si="17"/>
        <v>-13.417360027761044</v>
      </c>
    </row>
    <row r="55" spans="1:11" x14ac:dyDescent="0.25">
      <c r="A55" s="147" t="s">
        <v>393</v>
      </c>
      <c r="B55" s="347">
        <f>B53-B52</f>
        <v>0</v>
      </c>
      <c r="C55" s="347">
        <f t="shared" ref="C55:F55" si="18">C53-C52</f>
        <v>-0.89000000059604645</v>
      </c>
      <c r="D55" s="347">
        <f t="shared" si="18"/>
        <v>0</v>
      </c>
      <c r="E55" s="347">
        <f t="shared" si="18"/>
        <v>-0.37999999895691872</v>
      </c>
      <c r="F55" s="347">
        <f t="shared" si="18"/>
        <v>0</v>
      </c>
      <c r="G55" s="347">
        <f>G53-G52</f>
        <v>-262986000</v>
      </c>
      <c r="H55" s="347">
        <f t="shared" ref="H55:K55" si="19">H53-H52</f>
        <v>0</v>
      </c>
      <c r="I55" s="347">
        <f t="shared" si="19"/>
        <v>14100000</v>
      </c>
      <c r="J55" s="347">
        <f t="shared" si="19"/>
        <v>-248886001.26999998</v>
      </c>
      <c r="K55" s="347">
        <f t="shared" si="19"/>
        <v>-262986001.26999998</v>
      </c>
    </row>
    <row r="57" spans="1:11" x14ac:dyDescent="0.25">
      <c r="C57" s="385">
        <f>C53+D53</f>
        <v>158141453.44999999</v>
      </c>
      <c r="D57" s="385"/>
      <c r="E57" s="386">
        <f>E53+F53</f>
        <v>28771760.899999999</v>
      </c>
      <c r="F57" s="386"/>
    </row>
  </sheetData>
  <mergeCells count="8">
    <mergeCell ref="C57:D57"/>
    <mergeCell ref="E57:F57"/>
    <mergeCell ref="A50:J50"/>
    <mergeCell ref="A1:J1"/>
    <mergeCell ref="A8:J8"/>
    <mergeCell ref="A15:J15"/>
    <mergeCell ref="A31:J31"/>
    <mergeCell ref="A42:J42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0"/>
  <sheetViews>
    <sheetView topLeftCell="A11" workbookViewId="0">
      <selection activeCell="J17" sqref="J17"/>
    </sheetView>
  </sheetViews>
  <sheetFormatPr defaultRowHeight="15" x14ac:dyDescent="0.25"/>
  <cols>
    <col min="1" max="2" width="2" bestFit="1" customWidth="1"/>
    <col min="3" max="3" width="3" bestFit="1" customWidth="1"/>
    <col min="4" max="4" width="47.140625" customWidth="1"/>
    <col min="5" max="5" width="15.85546875" bestFit="1" customWidth="1"/>
  </cols>
  <sheetData>
    <row r="2" spans="1:6" x14ac:dyDescent="0.25">
      <c r="A2" s="5">
        <v>2</v>
      </c>
      <c r="B2" s="5">
        <v>2</v>
      </c>
      <c r="C2" s="53" t="s">
        <v>85</v>
      </c>
      <c r="D2" s="12" t="s">
        <v>202</v>
      </c>
      <c r="E2" s="54">
        <f>SUM(E3:E3)</f>
        <v>21600000</v>
      </c>
      <c r="F2" s="5" t="s">
        <v>3</v>
      </c>
    </row>
    <row r="3" spans="1:6" x14ac:dyDescent="0.25">
      <c r="A3" s="46"/>
      <c r="B3" s="46"/>
      <c r="C3" s="46"/>
      <c r="D3" s="71" t="s">
        <v>205</v>
      </c>
      <c r="E3" s="50">
        <f>1800000*12</f>
        <v>21600000</v>
      </c>
      <c r="F3" s="42"/>
    </row>
    <row r="4" spans="1:6" x14ac:dyDescent="0.25">
      <c r="A4" s="5">
        <v>2</v>
      </c>
      <c r="B4" s="5">
        <v>2</v>
      </c>
      <c r="C4" s="53" t="s">
        <v>89</v>
      </c>
      <c r="D4" s="12" t="s">
        <v>48</v>
      </c>
      <c r="E4" s="54">
        <f>SUM(E5:E10)</f>
        <v>141600000</v>
      </c>
      <c r="F4" s="5" t="s">
        <v>3</v>
      </c>
    </row>
    <row r="5" spans="1:6" x14ac:dyDescent="0.25">
      <c r="A5" s="46"/>
      <c r="B5" s="46"/>
      <c r="C5" s="46"/>
      <c r="D5" s="71" t="s">
        <v>206</v>
      </c>
      <c r="E5" s="50">
        <v>40000000</v>
      </c>
      <c r="F5" s="42" t="s">
        <v>3</v>
      </c>
    </row>
    <row r="6" spans="1:6" x14ac:dyDescent="0.25">
      <c r="A6" s="46"/>
      <c r="B6" s="46"/>
      <c r="C6" s="46"/>
      <c r="D6" s="71" t="s">
        <v>402</v>
      </c>
      <c r="E6" s="50">
        <v>24000000</v>
      </c>
      <c r="F6" s="42" t="s">
        <v>3</v>
      </c>
    </row>
    <row r="7" spans="1:6" ht="30" hidden="1" x14ac:dyDescent="0.25">
      <c r="A7" s="97"/>
      <c r="B7" s="97"/>
      <c r="C7" s="97"/>
      <c r="D7" s="43" t="s">
        <v>207</v>
      </c>
      <c r="E7" s="37">
        <v>0</v>
      </c>
      <c r="F7" s="36" t="s">
        <v>3</v>
      </c>
    </row>
    <row r="8" spans="1:6" x14ac:dyDescent="0.25">
      <c r="A8" s="46"/>
      <c r="B8" s="46"/>
      <c r="C8" s="46"/>
      <c r="D8" s="98" t="s">
        <v>209</v>
      </c>
      <c r="E8" s="50">
        <v>2000000</v>
      </c>
      <c r="F8" s="42"/>
    </row>
    <row r="9" spans="1:6" x14ac:dyDescent="0.25">
      <c r="A9" s="46"/>
      <c r="B9" s="46"/>
      <c r="C9" s="46"/>
      <c r="D9" s="98" t="s">
        <v>210</v>
      </c>
      <c r="E9" s="50">
        <v>9600000</v>
      </c>
      <c r="F9" s="42" t="s">
        <v>3</v>
      </c>
    </row>
    <row r="10" spans="1:6" x14ac:dyDescent="0.25">
      <c r="A10" s="46"/>
      <c r="B10" s="46"/>
      <c r="C10" s="46"/>
      <c r="D10" s="71" t="s">
        <v>211</v>
      </c>
      <c r="E10" s="50">
        <f>110000*50*12</f>
        <v>66000000</v>
      </c>
      <c r="F10" s="42" t="s">
        <v>3</v>
      </c>
    </row>
    <row r="11" spans="1:6" x14ac:dyDescent="0.25">
      <c r="A11" s="5">
        <v>2</v>
      </c>
      <c r="B11" s="5">
        <v>2</v>
      </c>
      <c r="C11" s="53" t="s">
        <v>98</v>
      </c>
      <c r="D11" s="12" t="s">
        <v>49</v>
      </c>
      <c r="E11" s="54">
        <f>SUM(E12:E13)</f>
        <v>4000000</v>
      </c>
      <c r="F11" s="5" t="s">
        <v>3</v>
      </c>
    </row>
    <row r="12" spans="1:6" x14ac:dyDescent="0.25">
      <c r="A12" s="5"/>
      <c r="B12" s="5"/>
      <c r="C12" s="53"/>
      <c r="D12" s="71" t="s">
        <v>212</v>
      </c>
      <c r="E12" s="50">
        <v>2000000</v>
      </c>
      <c r="F12" s="42"/>
    </row>
    <row r="13" spans="1:6" s="188" customFormat="1" ht="15" customHeight="1" x14ac:dyDescent="0.25">
      <c r="A13" s="3"/>
      <c r="B13" s="3"/>
      <c r="C13" s="34"/>
      <c r="D13" s="43" t="s">
        <v>213</v>
      </c>
      <c r="E13" s="37">
        <v>2000000</v>
      </c>
      <c r="F13" s="36"/>
    </row>
    <row r="14" spans="1:6" x14ac:dyDescent="0.25">
      <c r="A14" s="5">
        <v>2</v>
      </c>
      <c r="B14" s="5">
        <v>2</v>
      </c>
      <c r="C14" s="53" t="s">
        <v>109</v>
      </c>
      <c r="D14" s="12" t="s">
        <v>50</v>
      </c>
      <c r="E14" s="54">
        <f>E15+E21+E25+E26+E27+E28+E29+E34+E37+E41+E42+E43</f>
        <v>18000000</v>
      </c>
      <c r="F14" s="5" t="s">
        <v>3</v>
      </c>
    </row>
    <row r="15" spans="1:6" ht="30" x14ac:dyDescent="0.25">
      <c r="A15" s="5"/>
      <c r="B15" s="3"/>
      <c r="C15" s="34"/>
      <c r="D15" s="99" t="s">
        <v>554</v>
      </c>
      <c r="E15" s="100">
        <f>SUM(E16:E20)</f>
        <v>18000000</v>
      </c>
      <c r="F15" s="76" t="s">
        <v>3</v>
      </c>
    </row>
    <row r="16" spans="1:6" x14ac:dyDescent="0.25">
      <c r="A16" s="5"/>
      <c r="B16" s="3"/>
      <c r="C16" s="34"/>
      <c r="D16" s="101" t="s">
        <v>215</v>
      </c>
      <c r="E16" s="37">
        <v>2000000</v>
      </c>
      <c r="F16" s="36" t="s">
        <v>3</v>
      </c>
    </row>
    <row r="17" spans="1:6" x14ac:dyDescent="0.25">
      <c r="A17" s="5"/>
      <c r="B17" s="3"/>
      <c r="C17" s="34"/>
      <c r="D17" s="101" t="s">
        <v>551</v>
      </c>
      <c r="E17" s="37">
        <v>1000000</v>
      </c>
      <c r="F17" s="36" t="s">
        <v>3</v>
      </c>
    </row>
    <row r="18" spans="1:6" x14ac:dyDescent="0.25">
      <c r="A18" s="5"/>
      <c r="B18" s="3"/>
      <c r="C18" s="34"/>
      <c r="D18" s="101" t="s">
        <v>552</v>
      </c>
      <c r="E18" s="37">
        <v>2000000</v>
      </c>
      <c r="F18" s="36"/>
    </row>
    <row r="19" spans="1:6" x14ac:dyDescent="0.25">
      <c r="A19" s="5"/>
      <c r="B19" s="3"/>
      <c r="C19" s="34"/>
      <c r="D19" s="101" t="s">
        <v>553</v>
      </c>
      <c r="E19" s="37">
        <v>3000000</v>
      </c>
      <c r="F19" s="36"/>
    </row>
    <row r="20" spans="1:6" x14ac:dyDescent="0.25">
      <c r="A20" s="5"/>
      <c r="B20" s="3"/>
      <c r="C20" s="34"/>
      <c r="D20" s="101" t="s">
        <v>217</v>
      </c>
      <c r="E20" s="37">
        <v>10000000</v>
      </c>
      <c r="F20" s="36" t="s">
        <v>3</v>
      </c>
    </row>
    <row r="21" spans="1:6" hidden="1" x14ac:dyDescent="0.25">
      <c r="A21" s="5"/>
      <c r="B21" s="3"/>
      <c r="C21" s="34"/>
      <c r="D21" s="102" t="s">
        <v>218</v>
      </c>
      <c r="E21" s="100"/>
      <c r="F21" s="76" t="s">
        <v>3</v>
      </c>
    </row>
    <row r="22" spans="1:6" hidden="1" x14ac:dyDescent="0.25">
      <c r="A22" s="5"/>
      <c r="B22" s="3"/>
      <c r="C22" s="34"/>
      <c r="D22" s="101" t="s">
        <v>219</v>
      </c>
      <c r="E22" s="37"/>
      <c r="F22" s="36" t="s">
        <v>3</v>
      </c>
    </row>
    <row r="23" spans="1:6" hidden="1" x14ac:dyDescent="0.25">
      <c r="A23" s="5"/>
      <c r="B23" s="3"/>
      <c r="C23" s="34"/>
      <c r="D23" s="101" t="s">
        <v>220</v>
      </c>
      <c r="E23" s="37"/>
      <c r="F23" s="36" t="s">
        <v>3</v>
      </c>
    </row>
    <row r="24" spans="1:6" hidden="1" x14ac:dyDescent="0.25">
      <c r="A24" s="5"/>
      <c r="B24" s="3"/>
      <c r="C24" s="34"/>
      <c r="D24" s="101" t="s">
        <v>221</v>
      </c>
      <c r="E24" s="37"/>
      <c r="F24" s="36" t="s">
        <v>3</v>
      </c>
    </row>
    <row r="25" spans="1:6" hidden="1" x14ac:dyDescent="0.25">
      <c r="A25" s="5"/>
      <c r="B25" s="3"/>
      <c r="C25" s="34"/>
      <c r="D25" s="102" t="s">
        <v>222</v>
      </c>
      <c r="E25" s="100"/>
      <c r="F25" s="76" t="s">
        <v>3</v>
      </c>
    </row>
    <row r="26" spans="1:6" hidden="1" x14ac:dyDescent="0.25">
      <c r="A26" s="5"/>
      <c r="B26" s="3"/>
      <c r="C26" s="34"/>
      <c r="D26" s="102" t="s">
        <v>223</v>
      </c>
      <c r="E26" s="100"/>
      <c r="F26" s="76" t="s">
        <v>3</v>
      </c>
    </row>
    <row r="27" spans="1:6" hidden="1" x14ac:dyDescent="0.25">
      <c r="A27" s="5"/>
      <c r="B27" s="3"/>
      <c r="C27" s="34"/>
      <c r="D27" s="102" t="s">
        <v>224</v>
      </c>
      <c r="E27" s="100"/>
      <c r="F27" s="76" t="s">
        <v>3</v>
      </c>
    </row>
    <row r="28" spans="1:6" hidden="1" x14ac:dyDescent="0.25">
      <c r="A28" s="5"/>
      <c r="B28" s="3"/>
      <c r="C28" s="34"/>
      <c r="D28" s="102" t="s">
        <v>225</v>
      </c>
      <c r="E28" s="100"/>
      <c r="F28" s="76" t="s">
        <v>3</v>
      </c>
    </row>
    <row r="29" spans="1:6" hidden="1" x14ac:dyDescent="0.25">
      <c r="A29" s="5"/>
      <c r="B29" s="3"/>
      <c r="C29" s="34"/>
      <c r="D29" s="102" t="s">
        <v>226</v>
      </c>
      <c r="E29" s="100"/>
      <c r="F29" s="76" t="s">
        <v>3</v>
      </c>
    </row>
    <row r="30" spans="1:6" hidden="1" x14ac:dyDescent="0.25">
      <c r="A30" s="5"/>
      <c r="B30" s="3"/>
      <c r="C30" s="34"/>
      <c r="D30" s="101" t="s">
        <v>227</v>
      </c>
      <c r="E30" s="37"/>
      <c r="F30" s="36" t="s">
        <v>3</v>
      </c>
    </row>
    <row r="31" spans="1:6" hidden="1" x14ac:dyDescent="0.25">
      <c r="A31" s="5"/>
      <c r="B31" s="3"/>
      <c r="C31" s="34"/>
      <c r="D31" s="101" t="s">
        <v>228</v>
      </c>
      <c r="E31" s="37"/>
      <c r="F31" s="36" t="s">
        <v>3</v>
      </c>
    </row>
    <row r="32" spans="1:6" hidden="1" x14ac:dyDescent="0.25">
      <c r="A32" s="5"/>
      <c r="B32" s="3"/>
      <c r="C32" s="34"/>
      <c r="D32" s="101" t="s">
        <v>229</v>
      </c>
      <c r="E32" s="37"/>
      <c r="F32" s="36" t="s">
        <v>3</v>
      </c>
    </row>
    <row r="33" spans="1:6" hidden="1" x14ac:dyDescent="0.25">
      <c r="A33" s="53"/>
      <c r="B33" s="3"/>
      <c r="C33" s="34"/>
      <c r="D33" s="101" t="s">
        <v>230</v>
      </c>
      <c r="E33" s="37"/>
      <c r="F33" s="36" t="s">
        <v>3</v>
      </c>
    </row>
    <row r="34" spans="1:6" ht="30" hidden="1" x14ac:dyDescent="0.25">
      <c r="A34" s="53"/>
      <c r="B34" s="3"/>
      <c r="C34" s="34"/>
      <c r="D34" s="102" t="s">
        <v>231</v>
      </c>
      <c r="E34" s="100"/>
      <c r="F34" s="76" t="s">
        <v>3</v>
      </c>
    </row>
    <row r="35" spans="1:6" hidden="1" x14ac:dyDescent="0.25">
      <c r="A35" s="53"/>
      <c r="B35" s="3"/>
      <c r="C35" s="34"/>
      <c r="D35" s="101" t="s">
        <v>232</v>
      </c>
      <c r="E35" s="37"/>
      <c r="F35" s="36" t="s">
        <v>3</v>
      </c>
    </row>
    <row r="36" spans="1:6" hidden="1" x14ac:dyDescent="0.25">
      <c r="A36" s="53"/>
      <c r="B36" s="3"/>
      <c r="C36" s="34"/>
      <c r="D36" s="101" t="s">
        <v>233</v>
      </c>
      <c r="E36" s="37"/>
      <c r="F36" s="36" t="s">
        <v>3</v>
      </c>
    </row>
    <row r="37" spans="1:6" hidden="1" x14ac:dyDescent="0.25">
      <c r="A37" s="5"/>
      <c r="B37" s="3"/>
      <c r="C37" s="34"/>
      <c r="D37" s="99" t="s">
        <v>234</v>
      </c>
      <c r="E37" s="100"/>
      <c r="F37" s="76" t="s">
        <v>3</v>
      </c>
    </row>
    <row r="38" spans="1:6" hidden="1" x14ac:dyDescent="0.25">
      <c r="A38" s="53"/>
      <c r="B38" s="3"/>
      <c r="C38" s="34"/>
      <c r="D38" s="101" t="s">
        <v>209</v>
      </c>
      <c r="E38" s="37"/>
      <c r="F38" s="36" t="s">
        <v>3</v>
      </c>
    </row>
    <row r="39" spans="1:6" hidden="1" x14ac:dyDescent="0.25">
      <c r="A39" s="53"/>
      <c r="B39" s="3"/>
      <c r="C39" s="34"/>
      <c r="D39" s="101" t="s">
        <v>235</v>
      </c>
      <c r="E39" s="37"/>
      <c r="F39" s="36" t="s">
        <v>3</v>
      </c>
    </row>
    <row r="40" spans="1:6" hidden="1" x14ac:dyDescent="0.25">
      <c r="A40" s="5"/>
      <c r="B40" s="3"/>
      <c r="C40" s="34"/>
      <c r="D40" s="101" t="s">
        <v>236</v>
      </c>
      <c r="E40" s="37"/>
      <c r="F40" s="36" t="s">
        <v>3</v>
      </c>
    </row>
    <row r="41" spans="1:6" ht="30" hidden="1" x14ac:dyDescent="0.25">
      <c r="A41" s="5"/>
      <c r="B41" s="3"/>
      <c r="C41" s="34"/>
      <c r="D41" s="102" t="s">
        <v>237</v>
      </c>
      <c r="E41" s="100"/>
      <c r="F41" s="76" t="s">
        <v>3</v>
      </c>
    </row>
    <row r="42" spans="1:6" ht="30" hidden="1" x14ac:dyDescent="0.25">
      <c r="A42" s="5"/>
      <c r="B42" s="3"/>
      <c r="C42" s="34"/>
      <c r="D42" s="102" t="s">
        <v>238</v>
      </c>
      <c r="E42" s="100"/>
      <c r="F42" s="76" t="s">
        <v>3</v>
      </c>
    </row>
    <row r="43" spans="1:6" hidden="1" x14ac:dyDescent="0.25">
      <c r="A43" s="5"/>
      <c r="B43" s="3"/>
      <c r="C43" s="34"/>
      <c r="D43" s="99" t="s">
        <v>239</v>
      </c>
      <c r="E43" s="100">
        <f>SUM(E44:E45)</f>
        <v>0</v>
      </c>
      <c r="F43" s="76" t="s">
        <v>3</v>
      </c>
    </row>
    <row r="44" spans="1:6" hidden="1" x14ac:dyDescent="0.25">
      <c r="A44" s="5"/>
      <c r="B44" s="5"/>
      <c r="C44" s="53"/>
      <c r="D44" s="71" t="s">
        <v>212</v>
      </c>
      <c r="E44" s="50">
        <v>0</v>
      </c>
      <c r="F44" s="42" t="s">
        <v>3</v>
      </c>
    </row>
    <row r="45" spans="1:6" hidden="1" x14ac:dyDescent="0.25">
      <c r="A45" s="5"/>
      <c r="B45" s="5"/>
      <c r="C45" s="53"/>
      <c r="D45" s="71" t="s">
        <v>210</v>
      </c>
      <c r="E45" s="50">
        <v>0</v>
      </c>
      <c r="F45" s="42" t="s">
        <v>3</v>
      </c>
    </row>
    <row r="46" spans="1:6" x14ac:dyDescent="0.25">
      <c r="A46" s="5">
        <v>2</v>
      </c>
      <c r="B46" s="5">
        <v>2</v>
      </c>
      <c r="C46" s="53" t="s">
        <v>125</v>
      </c>
      <c r="D46" s="12" t="s">
        <v>51</v>
      </c>
      <c r="E46" s="54">
        <f>E47</f>
        <v>19800000</v>
      </c>
      <c r="F46" s="5" t="s">
        <v>3</v>
      </c>
    </row>
    <row r="47" spans="1:6" x14ac:dyDescent="0.25">
      <c r="A47" s="46"/>
      <c r="B47" s="46"/>
      <c r="C47" s="46"/>
      <c r="D47" s="71" t="s">
        <v>240</v>
      </c>
      <c r="E47" s="50">
        <f>110000*15*12</f>
        <v>19800000</v>
      </c>
      <c r="F47" s="42" t="s">
        <v>3</v>
      </c>
    </row>
    <row r="48" spans="1:6" ht="30" x14ac:dyDescent="0.25">
      <c r="A48" s="5">
        <v>2</v>
      </c>
      <c r="B48" s="5">
        <v>2</v>
      </c>
      <c r="C48" s="53" t="s">
        <v>160</v>
      </c>
      <c r="D48" s="12" t="s">
        <v>241</v>
      </c>
      <c r="E48" s="54">
        <f>E49</f>
        <v>1000000</v>
      </c>
      <c r="F48" s="5" t="s">
        <v>3</v>
      </c>
    </row>
    <row r="49" spans="1:6" x14ac:dyDescent="0.25">
      <c r="A49" s="5"/>
      <c r="B49" s="5"/>
      <c r="C49" s="53"/>
      <c r="D49" s="98" t="s">
        <v>208</v>
      </c>
      <c r="E49" s="50">
        <v>1000000</v>
      </c>
      <c r="F49" s="42" t="s">
        <v>3</v>
      </c>
    </row>
    <row r="50" spans="1:6" ht="30" x14ac:dyDescent="0.25">
      <c r="A50" s="3">
        <v>2</v>
      </c>
      <c r="B50" s="3">
        <v>2</v>
      </c>
      <c r="C50" s="34" t="s">
        <v>196</v>
      </c>
      <c r="D50" s="2" t="s">
        <v>242</v>
      </c>
      <c r="E50" s="35">
        <f>E51</f>
        <v>2000000</v>
      </c>
      <c r="F50" s="3" t="s">
        <v>3</v>
      </c>
    </row>
    <row r="51" spans="1:6" x14ac:dyDescent="0.25">
      <c r="A51" s="3"/>
      <c r="B51" s="3"/>
      <c r="C51" s="34"/>
      <c r="D51" s="43" t="s">
        <v>243</v>
      </c>
      <c r="E51" s="37">
        <v>2000000</v>
      </c>
      <c r="F51" s="36" t="s">
        <v>3</v>
      </c>
    </row>
    <row r="52" spans="1:6" ht="30" x14ac:dyDescent="0.25">
      <c r="A52" s="3">
        <v>2</v>
      </c>
      <c r="B52" s="3">
        <v>4</v>
      </c>
      <c r="C52" s="34" t="s">
        <v>159</v>
      </c>
      <c r="D52" s="2" t="s">
        <v>272</v>
      </c>
      <c r="E52" s="35">
        <f>SUM(E53:E58)</f>
        <v>104000000</v>
      </c>
      <c r="F52" s="3" t="s">
        <v>3</v>
      </c>
    </row>
    <row r="53" spans="1:6" hidden="1" x14ac:dyDescent="0.25">
      <c r="A53" s="5"/>
      <c r="B53" s="5"/>
      <c r="C53" s="53"/>
      <c r="D53" s="71" t="s">
        <v>556</v>
      </c>
      <c r="E53" s="50">
        <f>2000000*12</f>
        <v>24000000</v>
      </c>
      <c r="F53" s="3"/>
    </row>
    <row r="54" spans="1:6" hidden="1" x14ac:dyDescent="0.25">
      <c r="A54" s="5"/>
      <c r="B54" s="5"/>
      <c r="C54" s="53"/>
      <c r="D54" s="71" t="s">
        <v>555</v>
      </c>
      <c r="E54" s="50">
        <f>2000000*12</f>
        <v>24000000</v>
      </c>
      <c r="F54" s="46"/>
    </row>
    <row r="55" spans="1:6" hidden="1" x14ac:dyDescent="0.25">
      <c r="A55" s="5"/>
      <c r="B55" s="5"/>
      <c r="C55" s="53"/>
      <c r="D55" s="71" t="s">
        <v>577</v>
      </c>
      <c r="E55" s="50">
        <f>1500000*12</f>
        <v>18000000</v>
      </c>
      <c r="F55" s="46"/>
    </row>
    <row r="56" spans="1:6" hidden="1" x14ac:dyDescent="0.25">
      <c r="A56" s="5"/>
      <c r="B56" s="5"/>
      <c r="C56" s="53"/>
      <c r="D56" s="71" t="s">
        <v>276</v>
      </c>
      <c r="E56" s="50">
        <f>1500000*12</f>
        <v>18000000</v>
      </c>
      <c r="F56" s="46"/>
    </row>
    <row r="57" spans="1:6" hidden="1" x14ac:dyDescent="0.25">
      <c r="A57" s="5"/>
      <c r="B57" s="5"/>
      <c r="C57" s="53"/>
      <c r="D57" s="71"/>
      <c r="E57" s="50">
        <v>0</v>
      </c>
      <c r="F57" s="46"/>
    </row>
    <row r="58" spans="1:6" hidden="1" x14ac:dyDescent="0.25">
      <c r="A58" s="3"/>
      <c r="B58" s="3"/>
      <c r="C58" s="34"/>
      <c r="D58" s="43" t="s">
        <v>416</v>
      </c>
      <c r="E58" s="37">
        <v>20000000</v>
      </c>
      <c r="F58" s="97"/>
    </row>
    <row r="59" spans="1:6" hidden="1" x14ac:dyDescent="0.25">
      <c r="A59" s="5">
        <v>2</v>
      </c>
      <c r="B59" s="5">
        <v>4</v>
      </c>
      <c r="C59" s="53" t="s">
        <v>160</v>
      </c>
      <c r="D59" s="12" t="s">
        <v>280</v>
      </c>
      <c r="E59" s="54">
        <f>SUM(E60:E60)</f>
        <v>0</v>
      </c>
      <c r="F59" s="5" t="s">
        <v>3</v>
      </c>
    </row>
    <row r="60" spans="1:6" hidden="1" x14ac:dyDescent="0.25">
      <c r="A60" s="5"/>
      <c r="B60" s="5"/>
      <c r="C60" s="53"/>
      <c r="D60" s="71" t="s">
        <v>281</v>
      </c>
      <c r="E60" s="50">
        <v>0</v>
      </c>
      <c r="F60" s="5"/>
    </row>
    <row r="61" spans="1:6" ht="30" hidden="1" x14ac:dyDescent="0.25">
      <c r="A61" s="3">
        <v>2</v>
      </c>
      <c r="B61" s="3">
        <v>4</v>
      </c>
      <c r="C61" s="34">
        <v>11</v>
      </c>
      <c r="D61" s="2" t="s">
        <v>282</v>
      </c>
      <c r="E61" s="35">
        <f>SUM(E62:E63)</f>
        <v>0</v>
      </c>
      <c r="F61" s="3" t="s">
        <v>3</v>
      </c>
    </row>
    <row r="62" spans="1:6" hidden="1" x14ac:dyDescent="0.25">
      <c r="A62" s="3"/>
      <c r="B62" s="3"/>
      <c r="C62" s="34"/>
      <c r="D62" s="71" t="s">
        <v>564</v>
      </c>
      <c r="E62" s="51">
        <v>0</v>
      </c>
      <c r="F62" s="42" t="s">
        <v>3</v>
      </c>
    </row>
    <row r="63" spans="1:6" hidden="1" x14ac:dyDescent="0.25">
      <c r="A63" s="3"/>
      <c r="B63" s="3"/>
      <c r="C63" s="34"/>
      <c r="D63" s="71" t="s">
        <v>283</v>
      </c>
      <c r="E63" s="50">
        <v>0</v>
      </c>
      <c r="F63" s="42" t="s">
        <v>4</v>
      </c>
    </row>
    <row r="64" spans="1:6" ht="45" x14ac:dyDescent="0.25">
      <c r="A64" s="3">
        <v>2</v>
      </c>
      <c r="B64" s="3">
        <v>4</v>
      </c>
      <c r="C64" s="106">
        <v>12</v>
      </c>
      <c r="D64" s="107" t="s">
        <v>284</v>
      </c>
      <c r="E64" s="35">
        <f>E65</f>
        <v>180000000</v>
      </c>
      <c r="F64" s="3" t="s">
        <v>3</v>
      </c>
    </row>
    <row r="65" spans="1:6" x14ac:dyDescent="0.25">
      <c r="A65" s="5"/>
      <c r="B65" s="5"/>
      <c r="C65" s="108"/>
      <c r="D65" s="43" t="s">
        <v>563</v>
      </c>
      <c r="E65" s="37">
        <v>180000000</v>
      </c>
      <c r="F65" s="92"/>
    </row>
    <row r="66" spans="1:6" ht="30" x14ac:dyDescent="0.25">
      <c r="A66" s="3">
        <v>2</v>
      </c>
      <c r="B66" s="3">
        <v>4</v>
      </c>
      <c r="C66" s="34" t="s">
        <v>264</v>
      </c>
      <c r="D66" s="110" t="s">
        <v>292</v>
      </c>
      <c r="E66" s="45">
        <f>E67</f>
        <v>57020000</v>
      </c>
      <c r="F66" s="4" t="s">
        <v>3</v>
      </c>
    </row>
    <row r="67" spans="1:6" ht="30" x14ac:dyDescent="0.25">
      <c r="A67" s="48"/>
      <c r="B67" s="48"/>
      <c r="C67" s="62"/>
      <c r="D67" s="120" t="s">
        <v>589</v>
      </c>
      <c r="E67" s="49">
        <v>57020000</v>
      </c>
      <c r="F67" s="48"/>
    </row>
    <row r="68" spans="1:6" x14ac:dyDescent="0.25">
      <c r="A68" s="92">
        <v>2</v>
      </c>
      <c r="B68" s="5">
        <v>5</v>
      </c>
      <c r="C68" s="53" t="s">
        <v>89</v>
      </c>
      <c r="D68" s="5" t="s">
        <v>295</v>
      </c>
      <c r="E68" s="54">
        <f>SUM(E69:E70)</f>
        <v>3000000</v>
      </c>
      <c r="F68" s="5" t="s">
        <v>3</v>
      </c>
    </row>
    <row r="69" spans="1:6" x14ac:dyDescent="0.25">
      <c r="A69" s="92"/>
      <c r="B69" s="92"/>
      <c r="C69" s="116"/>
      <c r="D69" s="42" t="s">
        <v>296</v>
      </c>
      <c r="E69" s="50">
        <v>1000000</v>
      </c>
      <c r="F69" s="42" t="s">
        <v>3</v>
      </c>
    </row>
    <row r="70" spans="1:6" x14ac:dyDescent="0.25">
      <c r="A70" s="92"/>
      <c r="B70" s="92"/>
      <c r="C70" s="116"/>
      <c r="D70" s="42" t="s">
        <v>297</v>
      </c>
      <c r="E70" s="50">
        <v>2000000</v>
      </c>
      <c r="F70" s="42" t="s">
        <v>3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>
      <selection activeCell="J12" sqref="J12"/>
    </sheetView>
  </sheetViews>
  <sheetFormatPr defaultRowHeight="15" x14ac:dyDescent="0.25"/>
  <cols>
    <col min="1" max="1" width="3.5703125" bestFit="1" customWidth="1"/>
    <col min="2" max="2" width="2.5703125" bestFit="1" customWidth="1"/>
    <col min="3" max="3" width="6.140625" bestFit="1" customWidth="1"/>
    <col min="4" max="4" width="64.5703125" bestFit="1" customWidth="1"/>
    <col min="5" max="5" width="21.7109375" bestFit="1" customWidth="1"/>
  </cols>
  <sheetData>
    <row r="1" spans="1:13" x14ac:dyDescent="0.25">
      <c r="A1" s="389" t="s">
        <v>617</v>
      </c>
      <c r="B1" s="389"/>
      <c r="C1" s="389"/>
      <c r="D1" s="389"/>
      <c r="E1" s="389"/>
      <c r="F1" s="389"/>
      <c r="G1" s="285"/>
      <c r="H1" s="285"/>
      <c r="I1" s="285"/>
      <c r="J1" s="285"/>
      <c r="K1" s="285"/>
      <c r="L1" s="285"/>
      <c r="M1" s="285"/>
    </row>
    <row r="2" spans="1:13" x14ac:dyDescent="0.25">
      <c r="A2" s="389" t="s">
        <v>651</v>
      </c>
      <c r="B2" s="389"/>
      <c r="C2" s="389"/>
      <c r="D2" s="389"/>
      <c r="E2" s="389"/>
      <c r="F2" s="389"/>
      <c r="G2" s="329"/>
      <c r="H2" s="329"/>
      <c r="I2" s="285"/>
      <c r="J2" s="285"/>
      <c r="K2" s="285"/>
      <c r="L2" s="285"/>
      <c r="M2" s="285"/>
    </row>
    <row r="3" spans="1:13" s="280" customFormat="1" ht="35.25" customHeight="1" x14ac:dyDescent="0.25">
      <c r="A3" s="390" t="s">
        <v>618</v>
      </c>
      <c r="B3" s="390"/>
      <c r="C3" s="390"/>
      <c r="D3" s="390"/>
      <c r="E3" s="390"/>
      <c r="F3" s="390"/>
      <c r="G3" s="286"/>
      <c r="H3" s="286"/>
      <c r="I3" s="286"/>
      <c r="J3" s="286"/>
      <c r="K3" s="286"/>
      <c r="L3" s="286"/>
      <c r="M3" s="286"/>
    </row>
    <row r="4" spans="1:13" s="284" customFormat="1" ht="43.5" customHeight="1" x14ac:dyDescent="0.25">
      <c r="A4" s="391" t="s">
        <v>619</v>
      </c>
      <c r="B4" s="391"/>
      <c r="C4" s="391"/>
      <c r="D4" s="391"/>
      <c r="E4" s="391"/>
      <c r="F4" s="391"/>
      <c r="G4" s="303"/>
      <c r="H4" s="303"/>
      <c r="I4" s="303"/>
      <c r="J4" s="303"/>
      <c r="K4" s="303"/>
      <c r="L4" s="303"/>
      <c r="M4" s="303"/>
    </row>
    <row r="5" spans="1:13" s="284" customFormat="1" ht="15.75" x14ac:dyDescent="0.25">
      <c r="A5" s="392" t="s">
        <v>650</v>
      </c>
      <c r="B5" s="392"/>
      <c r="C5" s="392"/>
      <c r="D5" s="392"/>
      <c r="E5" s="313">
        <f>'APBDESA 2024 PERUB PENJ'!M5</f>
        <v>863354000</v>
      </c>
      <c r="F5" s="330"/>
      <c r="G5" s="330"/>
      <c r="H5" s="330"/>
      <c r="I5" s="330"/>
      <c r="J5" s="330"/>
      <c r="K5" s="330"/>
      <c r="L5" s="330"/>
      <c r="M5" s="330"/>
    </row>
    <row r="6" spans="1:13" s="299" customFormat="1" ht="43.5" customHeight="1" x14ac:dyDescent="0.25">
      <c r="A6" s="388" t="s">
        <v>630</v>
      </c>
      <c r="B6" s="388"/>
      <c r="C6" s="328" t="s">
        <v>631</v>
      </c>
      <c r="D6" s="328" t="s">
        <v>632</v>
      </c>
      <c r="E6" s="328" t="s">
        <v>633</v>
      </c>
      <c r="F6" s="328" t="s">
        <v>634</v>
      </c>
      <c r="G6" s="298"/>
      <c r="H6" s="298"/>
      <c r="I6" s="298"/>
      <c r="J6" s="298"/>
      <c r="K6" s="298"/>
      <c r="L6" s="298"/>
      <c r="M6" s="298"/>
    </row>
    <row r="7" spans="1:13" s="282" customFormat="1" x14ac:dyDescent="0.25">
      <c r="A7" s="395">
        <v>1</v>
      </c>
      <c r="B7" s="395"/>
      <c r="C7" s="289"/>
      <c r="D7" s="289" t="s">
        <v>622</v>
      </c>
      <c r="E7" s="290">
        <f>E8</f>
        <v>72000000</v>
      </c>
      <c r="F7" s="290">
        <f>E7/E5*100</f>
        <v>8.3395687053051244</v>
      </c>
    </row>
    <row r="8" spans="1:13" s="282" customFormat="1" x14ac:dyDescent="0.25">
      <c r="A8" s="291"/>
      <c r="B8" s="291" t="s">
        <v>625</v>
      </c>
      <c r="C8" s="292" t="s">
        <v>635</v>
      </c>
      <c r="D8" s="291" t="s">
        <v>626</v>
      </c>
      <c r="E8" s="293">
        <f>'APBDESA 2024 PERUB PENJ'!E470</f>
        <v>72000000</v>
      </c>
      <c r="F8" s="291"/>
    </row>
    <row r="9" spans="1:13" s="287" customFormat="1" x14ac:dyDescent="0.25">
      <c r="A9" s="395">
        <v>2</v>
      </c>
      <c r="B9" s="395"/>
      <c r="C9" s="289"/>
      <c r="D9" s="289" t="s">
        <v>623</v>
      </c>
      <c r="E9" s="290">
        <f>SUM(E10:E13)</f>
        <v>265147619.25</v>
      </c>
      <c r="F9" s="290">
        <f>E9/E5*100</f>
        <v>30.711344274770259</v>
      </c>
    </row>
    <row r="10" spans="1:13" s="288" customFormat="1" x14ac:dyDescent="0.25">
      <c r="A10" s="294"/>
      <c r="B10" s="294" t="s">
        <v>625</v>
      </c>
      <c r="C10" s="295" t="s">
        <v>629</v>
      </c>
      <c r="D10" s="294" t="str">
        <f>'UNTUK APBDESA 2024'!D277</f>
        <v>Pembangunan/Rehabilitasi/Peningkatan/Pengerasan Jalan Usaha Tani</v>
      </c>
      <c r="E10" s="296">
        <f>'APBDESA 2024 PERUB PENJ'!E280</f>
        <v>105000000</v>
      </c>
      <c r="F10" s="294"/>
    </row>
    <row r="11" spans="1:13" s="288" customFormat="1" ht="30" x14ac:dyDescent="0.25">
      <c r="A11" s="294"/>
      <c r="B11" s="294" t="s">
        <v>627</v>
      </c>
      <c r="C11" s="295" t="s">
        <v>636</v>
      </c>
      <c r="D11" s="294" t="str">
        <f>'UNTUK APBDESA 2024'!D305</f>
        <v>Pembangunan/Rehabilitasi/Peningkatan Sambungan Air Bersih ke Rumah Tangga (pipanisasi, dll) **</v>
      </c>
      <c r="E11" s="296">
        <f>'APBDESA 2024 PERUB PENJ'!E309</f>
        <v>100000000</v>
      </c>
      <c r="F11" s="294"/>
    </row>
    <row r="12" spans="1:13" s="288" customFormat="1" ht="30" x14ac:dyDescent="0.25">
      <c r="A12" s="294"/>
      <c r="B12" s="294" t="s">
        <v>628</v>
      </c>
      <c r="C12" s="295" t="s">
        <v>637</v>
      </c>
      <c r="D12" s="294" t="str">
        <f>'UNTUK APBDESA 2024'!D416</f>
        <v>Peningkatan Produksi Tanaman Pangan (Alat Produksi dan pengolahan pertanian, penggilingan Padi/jagung, dll)</v>
      </c>
      <c r="E12" s="296">
        <f>'APBDESA 2024 PERUB PENJ'!E421</f>
        <v>5147619.25</v>
      </c>
      <c r="F12" s="294"/>
    </row>
    <row r="13" spans="1:13" s="288" customFormat="1" ht="30" x14ac:dyDescent="0.25">
      <c r="A13" s="294"/>
      <c r="B13" s="294" t="s">
        <v>639</v>
      </c>
      <c r="C13" s="295" t="s">
        <v>638</v>
      </c>
      <c r="D13" s="294" t="str">
        <f>'UNTUK APBDESA 2024'!D418</f>
        <v>Peningkatan Produksi Peternakan (Alat Produksi dan pengolahan peternakan, kandang, dll)</v>
      </c>
      <c r="E13" s="296">
        <f>'APBDESA 2024 PERUB PENJ'!E423</f>
        <v>55000000</v>
      </c>
      <c r="F13" s="294"/>
    </row>
    <row r="14" spans="1:13" s="306" customFormat="1" x14ac:dyDescent="0.25">
      <c r="A14" s="396">
        <v>3</v>
      </c>
      <c r="B14" s="396"/>
      <c r="C14" s="304" t="s">
        <v>644</v>
      </c>
      <c r="D14" s="260" t="s">
        <v>624</v>
      </c>
      <c r="E14" s="305">
        <f>SUM(E15:E17)</f>
        <v>30000000</v>
      </c>
      <c r="F14" s="305">
        <f>E14/E5*100</f>
        <v>3.4748202938771353</v>
      </c>
    </row>
    <row r="15" spans="1:13" s="288" customFormat="1" x14ac:dyDescent="0.25">
      <c r="A15" s="294"/>
      <c r="B15" s="294"/>
      <c r="C15" s="307" t="s">
        <v>645</v>
      </c>
      <c r="D15" s="294" t="str">
        <f>'UNTUK APBDESA 2024'!D62</f>
        <v>Biaya koordinasi Pemerintahan Desa</v>
      </c>
      <c r="E15" s="296">
        <f>'APBDESA 2024 PERUB PENJ'!E62</f>
        <v>3000000</v>
      </c>
      <c r="F15" s="294"/>
    </row>
    <row r="16" spans="1:13" s="288" customFormat="1" ht="30" x14ac:dyDescent="0.25">
      <c r="A16" s="294"/>
      <c r="B16" s="294"/>
      <c r="C16" s="307" t="s">
        <v>645</v>
      </c>
      <c r="D16" s="294" t="str">
        <f>'UNTUK APBDESA 2024'!D65</f>
        <v>Dukungan Penyelenggaraan pencegahan dan penanggulangan kerawanan sosial</v>
      </c>
      <c r="E16" s="296">
        <f>'APBDESA 2024 PERUB PENJ'!E65</f>
        <v>5000000</v>
      </c>
      <c r="F16" s="294"/>
    </row>
    <row r="17" spans="1:6" s="288" customFormat="1" x14ac:dyDescent="0.25">
      <c r="A17" s="294"/>
      <c r="B17" s="294"/>
      <c r="C17" s="307" t="s">
        <v>645</v>
      </c>
      <c r="D17" s="294" t="str">
        <f>'UNTUK APBDESA 2024'!D68</f>
        <v>Dukungan acara seremonial di Desa</v>
      </c>
      <c r="E17" s="296">
        <f>'APBDESA 2024 PERUB PENJ'!E68</f>
        <v>22000000</v>
      </c>
      <c r="F17" s="294"/>
    </row>
    <row r="18" spans="1:6" s="306" customFormat="1" x14ac:dyDescent="0.25">
      <c r="A18" s="396">
        <v>4</v>
      </c>
      <c r="B18" s="396"/>
      <c r="C18" s="260"/>
      <c r="D18" s="260" t="s">
        <v>620</v>
      </c>
      <c r="E18" s="305">
        <f>SUM(E19:E22)</f>
        <v>171000000</v>
      </c>
      <c r="F18" s="305">
        <f>E18/E5*100</f>
        <v>19.806475675099669</v>
      </c>
    </row>
    <row r="19" spans="1:6" s="288" customFormat="1" x14ac:dyDescent="0.25">
      <c r="A19" s="294"/>
      <c r="B19" s="294" t="s">
        <v>625</v>
      </c>
      <c r="C19" s="295" t="s">
        <v>640</v>
      </c>
      <c r="D19" s="294" t="str">
        <f>'UNTUK APBDESA 2024'!D203</f>
        <v>Penyelenggaraan Poskesdes/Polindes Milik Desa</v>
      </c>
      <c r="E19" s="296">
        <f>'APBDESA 2024 PERUB PENJ'!E209</f>
        <v>21600000</v>
      </c>
      <c r="F19" s="294"/>
    </row>
    <row r="20" spans="1:6" s="288" customFormat="1" ht="20.25" customHeight="1" x14ac:dyDescent="0.25">
      <c r="A20" s="294"/>
      <c r="B20" s="294" t="s">
        <v>625</v>
      </c>
      <c r="C20" s="295" t="s">
        <v>641</v>
      </c>
      <c r="D20" s="294" t="str">
        <f>'UNTUK APBDESA 2024'!D207</f>
        <v xml:space="preserve">Penyelenggaraan Posyandu </v>
      </c>
      <c r="E20" s="296">
        <f>'APBDESA 2024 PERUB PENJ'!E210</f>
        <v>129600000</v>
      </c>
      <c r="F20" s="294"/>
    </row>
    <row r="21" spans="1:6" s="188" customFormat="1" x14ac:dyDescent="0.25">
      <c r="A21" s="300"/>
      <c r="B21" s="300" t="s">
        <v>627</v>
      </c>
      <c r="C21" s="301" t="s">
        <v>643</v>
      </c>
      <c r="D21" s="300" t="str">
        <f>'UNTUK APBDESA 2024'!D214</f>
        <v>Penyuluhan dan Pelatihan Bidang Kesehatan</v>
      </c>
      <c r="E21" s="302">
        <v>0</v>
      </c>
      <c r="F21" s="300"/>
    </row>
    <row r="22" spans="1:6" s="288" customFormat="1" ht="18" customHeight="1" x14ac:dyDescent="0.25">
      <c r="A22" s="294"/>
      <c r="B22" s="294" t="s">
        <v>628</v>
      </c>
      <c r="C22" s="295" t="s">
        <v>643</v>
      </c>
      <c r="D22" s="294" t="str">
        <f>'UNTUK APBDESA 2024'!D249</f>
        <v xml:space="preserve">Pengasuhan Bersama atau Bina keluarga Balita </v>
      </c>
      <c r="E22" s="296">
        <f>'APBDESA 2024 PERUB PENJ'!E253</f>
        <v>19800000</v>
      </c>
      <c r="F22" s="294"/>
    </row>
    <row r="23" spans="1:6" s="306" customFormat="1" x14ac:dyDescent="0.25">
      <c r="A23" s="396">
        <v>5</v>
      </c>
      <c r="B23" s="396"/>
      <c r="C23" s="260"/>
      <c r="D23" s="260" t="s">
        <v>621</v>
      </c>
      <c r="E23" s="260">
        <v>0</v>
      </c>
      <c r="F23" s="260"/>
    </row>
    <row r="24" spans="1:6" s="309" customFormat="1" x14ac:dyDescent="0.25">
      <c r="A24" s="397" t="s">
        <v>12</v>
      </c>
      <c r="B24" s="398"/>
      <c r="C24" s="398"/>
      <c r="D24" s="399"/>
      <c r="E24" s="308">
        <f>E7+E9+E14+E18+E23</f>
        <v>538147619.25</v>
      </c>
      <c r="F24" s="308">
        <f>SUM(F9:F23)</f>
        <v>53.992640243747061</v>
      </c>
    </row>
    <row r="26" spans="1:6" s="310" customFormat="1" ht="34.5" customHeight="1" x14ac:dyDescent="0.25">
      <c r="A26" s="312" t="s">
        <v>646</v>
      </c>
      <c r="B26" s="393" t="s">
        <v>647</v>
      </c>
      <c r="C26" s="393"/>
      <c r="D26" s="394" t="s">
        <v>648</v>
      </c>
      <c r="E26" s="394"/>
      <c r="F26" s="394"/>
    </row>
    <row r="27" spans="1:6" s="310" customFormat="1" ht="30.75" customHeight="1" x14ac:dyDescent="0.25">
      <c r="A27" s="311"/>
      <c r="B27" s="311"/>
      <c r="C27" s="311"/>
      <c r="D27" s="394" t="s">
        <v>649</v>
      </c>
      <c r="E27" s="394"/>
      <c r="F27" s="394"/>
    </row>
  </sheetData>
  <mergeCells count="15">
    <mergeCell ref="B26:C26"/>
    <mergeCell ref="D26:F26"/>
    <mergeCell ref="D27:F27"/>
    <mergeCell ref="A7:B7"/>
    <mergeCell ref="A9:B9"/>
    <mergeCell ref="A14:B14"/>
    <mergeCell ref="A18:B18"/>
    <mergeCell ref="A23:B23"/>
    <mergeCell ref="A24:D24"/>
    <mergeCell ref="A6:B6"/>
    <mergeCell ref="A1:F1"/>
    <mergeCell ref="A2:F2"/>
    <mergeCell ref="A3:F3"/>
    <mergeCell ref="A4:F4"/>
    <mergeCell ref="A5:D5"/>
  </mergeCells>
  <pageMargins left="0.7" right="0.7" top="0.75" bottom="0.75" header="0.3" footer="0.3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7" zoomScaleNormal="100" zoomScaleSheetLayoutView="100" workbookViewId="0">
      <selection activeCell="D19" sqref="D19"/>
    </sheetView>
  </sheetViews>
  <sheetFormatPr defaultRowHeight="15" x14ac:dyDescent="0.25"/>
  <cols>
    <col min="1" max="1" width="3.5703125" bestFit="1" customWidth="1"/>
    <col min="2" max="2" width="2.5703125" bestFit="1" customWidth="1"/>
    <col min="3" max="3" width="6.140625" bestFit="1" customWidth="1"/>
    <col min="4" max="4" width="64.5703125" bestFit="1" customWidth="1"/>
    <col min="5" max="5" width="21.7109375" bestFit="1" customWidth="1"/>
  </cols>
  <sheetData>
    <row r="1" spans="1:13" x14ac:dyDescent="0.25">
      <c r="A1" s="389" t="s">
        <v>617</v>
      </c>
      <c r="B1" s="389"/>
      <c r="C1" s="389"/>
      <c r="D1" s="389"/>
      <c r="E1" s="389"/>
      <c r="F1" s="389"/>
      <c r="G1" s="285"/>
      <c r="H1" s="285"/>
      <c r="I1" s="285"/>
      <c r="J1" s="285"/>
      <c r="K1" s="285"/>
      <c r="L1" s="285"/>
      <c r="M1" s="285"/>
    </row>
    <row r="2" spans="1:13" x14ac:dyDescent="0.25">
      <c r="A2" s="389" t="s">
        <v>651</v>
      </c>
      <c r="B2" s="389"/>
      <c r="C2" s="389"/>
      <c r="D2" s="389"/>
      <c r="E2" s="389"/>
      <c r="F2" s="389"/>
      <c r="G2" s="318"/>
      <c r="H2" s="318"/>
      <c r="I2" s="285"/>
      <c r="J2" s="285"/>
      <c r="K2" s="285"/>
      <c r="L2" s="285"/>
      <c r="M2" s="285"/>
    </row>
    <row r="3" spans="1:13" s="280" customFormat="1" ht="35.25" customHeight="1" x14ac:dyDescent="0.25">
      <c r="A3" s="390" t="s">
        <v>618</v>
      </c>
      <c r="B3" s="390"/>
      <c r="C3" s="390"/>
      <c r="D3" s="390"/>
      <c r="E3" s="390"/>
      <c r="F3" s="390"/>
      <c r="G3" s="286"/>
      <c r="H3" s="286"/>
      <c r="I3" s="286"/>
      <c r="J3" s="286"/>
      <c r="K3" s="286"/>
      <c r="L3" s="286"/>
      <c r="M3" s="286"/>
    </row>
    <row r="4" spans="1:13" s="284" customFormat="1" ht="43.5" customHeight="1" x14ac:dyDescent="0.25">
      <c r="A4" s="391" t="s">
        <v>619</v>
      </c>
      <c r="B4" s="391"/>
      <c r="C4" s="391"/>
      <c r="D4" s="391"/>
      <c r="E4" s="391"/>
      <c r="F4" s="391"/>
      <c r="G4" s="303"/>
      <c r="H4" s="303"/>
      <c r="I4" s="303"/>
      <c r="J4" s="303"/>
      <c r="K4" s="303"/>
      <c r="L4" s="303"/>
      <c r="M4" s="303"/>
    </row>
    <row r="5" spans="1:13" s="284" customFormat="1" ht="15.75" x14ac:dyDescent="0.25">
      <c r="A5" s="392" t="s">
        <v>650</v>
      </c>
      <c r="B5" s="392"/>
      <c r="C5" s="392"/>
      <c r="D5" s="392"/>
      <c r="E5" s="313">
        <f>'APBDESA 2024 PERUB PENJ'!M5</f>
        <v>863354000</v>
      </c>
      <c r="F5" s="317"/>
      <c r="G5" s="317"/>
      <c r="H5" s="317"/>
      <c r="I5" s="317"/>
      <c r="J5" s="317"/>
      <c r="K5" s="317"/>
      <c r="L5" s="317"/>
      <c r="M5" s="317"/>
    </row>
    <row r="6" spans="1:13" s="299" customFormat="1" ht="43.5" customHeight="1" x14ac:dyDescent="0.25">
      <c r="A6" s="388" t="s">
        <v>630</v>
      </c>
      <c r="B6" s="388"/>
      <c r="C6" s="319" t="s">
        <v>631</v>
      </c>
      <c r="D6" s="319" t="s">
        <v>632</v>
      </c>
      <c r="E6" s="319" t="s">
        <v>633</v>
      </c>
      <c r="F6" s="319" t="s">
        <v>634</v>
      </c>
      <c r="G6" s="298"/>
      <c r="H6" s="298"/>
      <c r="I6" s="298"/>
      <c r="J6" s="298"/>
      <c r="K6" s="298"/>
      <c r="L6" s="298"/>
      <c r="M6" s="298"/>
    </row>
    <row r="7" spans="1:13" s="282" customFormat="1" x14ac:dyDescent="0.25">
      <c r="A7" s="395">
        <v>1</v>
      </c>
      <c r="B7" s="395"/>
      <c r="C7" s="289"/>
      <c r="D7" s="289" t="s">
        <v>622</v>
      </c>
      <c r="E7" s="290">
        <f>E8</f>
        <v>72000000</v>
      </c>
      <c r="F7" s="290">
        <f>E7/E5*100</f>
        <v>8.3395687053051244</v>
      </c>
    </row>
    <row r="8" spans="1:13" s="282" customFormat="1" x14ac:dyDescent="0.25">
      <c r="A8" s="291"/>
      <c r="B8" s="291" t="s">
        <v>625</v>
      </c>
      <c r="C8" s="292" t="s">
        <v>635</v>
      </c>
      <c r="D8" s="291" t="s">
        <v>626</v>
      </c>
      <c r="E8" s="293">
        <f>'APBDESA 2024 PERUB PENJ'!E470</f>
        <v>72000000</v>
      </c>
      <c r="F8" s="291"/>
    </row>
    <row r="9" spans="1:13" s="287" customFormat="1" x14ac:dyDescent="0.25">
      <c r="A9" s="395">
        <v>2</v>
      </c>
      <c r="B9" s="395"/>
      <c r="C9" s="289"/>
      <c r="D9" s="289" t="s">
        <v>623</v>
      </c>
      <c r="E9" s="290">
        <f>SUM(E10:E13)</f>
        <v>363490000</v>
      </c>
      <c r="F9" s="290">
        <f>E9/E5*100</f>
        <v>42.102080954046663</v>
      </c>
    </row>
    <row r="10" spans="1:13" s="288" customFormat="1" x14ac:dyDescent="0.25">
      <c r="A10" s="294"/>
      <c r="B10" s="294" t="s">
        <v>625</v>
      </c>
      <c r="C10" s="295" t="s">
        <v>629</v>
      </c>
      <c r="D10" s="294" t="str">
        <f>'UNTUK APBDESA 2024'!D277</f>
        <v>Pembangunan/Rehabilitasi/Peningkatan/Pengerasan Jalan Usaha Tani</v>
      </c>
      <c r="E10" s="296">
        <f>'UNTUK APBDESA 2024'!E277</f>
        <v>143490000</v>
      </c>
      <c r="F10" s="294"/>
    </row>
    <row r="11" spans="1:13" s="288" customFormat="1" ht="30" x14ac:dyDescent="0.25">
      <c r="A11" s="294"/>
      <c r="B11" s="294" t="s">
        <v>627</v>
      </c>
      <c r="C11" s="295" t="s">
        <v>636</v>
      </c>
      <c r="D11" s="294" t="str">
        <f>'UNTUK APBDESA 2024'!D305</f>
        <v>Pembangunan/Rehabilitasi/Peningkatan Sambungan Air Bersih ke Rumah Tangga (pipanisasi, dll) **</v>
      </c>
      <c r="E11" s="296">
        <f>'UNTUK APBDESA 2024'!E306</f>
        <v>160000000</v>
      </c>
      <c r="F11" s="294"/>
    </row>
    <row r="12" spans="1:13" s="288" customFormat="1" ht="30" x14ac:dyDescent="0.25">
      <c r="A12" s="294"/>
      <c r="B12" s="294" t="s">
        <v>628</v>
      </c>
      <c r="C12" s="295" t="s">
        <v>637</v>
      </c>
      <c r="D12" s="294" t="str">
        <f>'UNTUK APBDESA 2024'!D416</f>
        <v>Peningkatan Produksi Tanaman Pangan (Alat Produksi dan pengolahan pertanian, penggilingan Padi/jagung, dll)</v>
      </c>
      <c r="E12" s="296">
        <f>'UNTUK APBDESA 2024'!E416</f>
        <v>5000000</v>
      </c>
      <c r="F12" s="294"/>
    </row>
    <row r="13" spans="1:13" s="288" customFormat="1" ht="30" x14ac:dyDescent="0.25">
      <c r="A13" s="294"/>
      <c r="B13" s="294" t="s">
        <v>639</v>
      </c>
      <c r="C13" s="295" t="s">
        <v>638</v>
      </c>
      <c r="D13" s="294" t="str">
        <f>'UNTUK APBDESA 2024'!D418</f>
        <v>Peningkatan Produksi Peternakan (Alat Produksi dan pengolahan peternakan, kandang, dll)</v>
      </c>
      <c r="E13" s="296">
        <f>'UNTUK APBDESA 2024'!E418</f>
        <v>55000000</v>
      </c>
      <c r="F13" s="294"/>
    </row>
    <row r="14" spans="1:13" s="306" customFormat="1" x14ac:dyDescent="0.25">
      <c r="A14" s="396">
        <v>3</v>
      </c>
      <c r="B14" s="396"/>
      <c r="C14" s="304" t="s">
        <v>644</v>
      </c>
      <c r="D14" s="260" t="s">
        <v>624</v>
      </c>
      <c r="E14" s="305">
        <f>SUM(E15:E17)</f>
        <v>30000000</v>
      </c>
      <c r="F14" s="305">
        <f>E14/E5*100</f>
        <v>3.4748202938771353</v>
      </c>
    </row>
    <row r="15" spans="1:13" s="288" customFormat="1" x14ac:dyDescent="0.25">
      <c r="A15" s="294"/>
      <c r="B15" s="294"/>
      <c r="C15" s="307" t="s">
        <v>645</v>
      </c>
      <c r="D15" s="294" t="str">
        <f>'UNTUK APBDESA 2024'!D62</f>
        <v>Biaya koordinasi Pemerintahan Desa</v>
      </c>
      <c r="E15" s="296">
        <f>'UNTUK APBDESA 2024'!E62</f>
        <v>3000000</v>
      </c>
      <c r="F15" s="294"/>
    </row>
    <row r="16" spans="1:13" s="288" customFormat="1" ht="30" x14ac:dyDescent="0.25">
      <c r="A16" s="294"/>
      <c r="B16" s="294"/>
      <c r="C16" s="307" t="s">
        <v>645</v>
      </c>
      <c r="D16" s="294" t="str">
        <f>'UNTUK APBDESA 2024'!D65</f>
        <v>Dukungan Penyelenggaraan pencegahan dan penanggulangan kerawanan sosial</v>
      </c>
      <c r="E16" s="296">
        <f>'UNTUK APBDESA 2024'!E65</f>
        <v>5000000</v>
      </c>
      <c r="F16" s="294"/>
    </row>
    <row r="17" spans="1:6" s="288" customFormat="1" x14ac:dyDescent="0.25">
      <c r="A17" s="294"/>
      <c r="B17" s="294"/>
      <c r="C17" s="307" t="s">
        <v>645</v>
      </c>
      <c r="D17" s="294" t="str">
        <f>'UNTUK APBDESA 2024'!D68</f>
        <v>Dukungan acara seremonial di Desa</v>
      </c>
      <c r="E17" s="296">
        <f>'UNTUK APBDESA 2024'!E68</f>
        <v>22000000</v>
      </c>
      <c r="F17" s="294"/>
    </row>
    <row r="18" spans="1:6" s="306" customFormat="1" x14ac:dyDescent="0.25">
      <c r="A18" s="396">
        <v>4</v>
      </c>
      <c r="B18" s="396"/>
      <c r="C18" s="260"/>
      <c r="D18" s="260" t="s">
        <v>620</v>
      </c>
      <c r="E18" s="305">
        <f>SUM(E19:E22)</f>
        <v>171000000</v>
      </c>
      <c r="F18" s="305">
        <f>E18/E5*100</f>
        <v>19.806475675099669</v>
      </c>
    </row>
    <row r="19" spans="1:6" s="288" customFormat="1" x14ac:dyDescent="0.25">
      <c r="A19" s="294"/>
      <c r="B19" s="294" t="s">
        <v>625</v>
      </c>
      <c r="C19" s="295" t="s">
        <v>640</v>
      </c>
      <c r="D19" s="294" t="str">
        <f>'UNTUK APBDESA 2024'!D203</f>
        <v>Penyelenggaraan Poskesdes/Polindes Milik Desa</v>
      </c>
      <c r="E19" s="296">
        <v>21600000</v>
      </c>
      <c r="F19" s="294"/>
    </row>
    <row r="20" spans="1:6" s="288" customFormat="1" ht="20.25" customHeight="1" x14ac:dyDescent="0.25">
      <c r="A20" s="294"/>
      <c r="B20" s="294" t="s">
        <v>625</v>
      </c>
      <c r="C20" s="295" t="s">
        <v>641</v>
      </c>
      <c r="D20" s="294" t="str">
        <f>'UNTUK APBDESA 2024'!D207</f>
        <v xml:space="preserve">Penyelenggaraan Posyandu </v>
      </c>
      <c r="E20" s="296">
        <f>'UNTUK APBDESA 2024'!E207</f>
        <v>129600000</v>
      </c>
      <c r="F20" s="294"/>
    </row>
    <row r="21" spans="1:6" s="188" customFormat="1" x14ac:dyDescent="0.25">
      <c r="A21" s="300"/>
      <c r="B21" s="300" t="s">
        <v>627</v>
      </c>
      <c r="C21" s="301" t="s">
        <v>642</v>
      </c>
      <c r="D21" s="300" t="str">
        <f>'UNTUK APBDESA 2024'!D214</f>
        <v>Penyuluhan dan Pelatihan Bidang Kesehatan</v>
      </c>
      <c r="E21" s="302">
        <v>0</v>
      </c>
      <c r="F21" s="300"/>
    </row>
    <row r="22" spans="1:6" s="288" customFormat="1" ht="18" customHeight="1" x14ac:dyDescent="0.25">
      <c r="A22" s="294"/>
      <c r="B22" s="294" t="s">
        <v>628</v>
      </c>
      <c r="C22" s="295" t="s">
        <v>643</v>
      </c>
      <c r="D22" s="294" t="str">
        <f>'UNTUK APBDESA 2024'!D249</f>
        <v xml:space="preserve">Pengasuhan Bersama atau Bina keluarga Balita </v>
      </c>
      <c r="E22" s="296">
        <f>'APBDESA 2024 PERUB PENJ'!E253</f>
        <v>19800000</v>
      </c>
      <c r="F22" s="294"/>
    </row>
    <row r="23" spans="1:6" s="306" customFormat="1" x14ac:dyDescent="0.25">
      <c r="A23" s="396">
        <v>5</v>
      </c>
      <c r="B23" s="396"/>
      <c r="C23" s="260"/>
      <c r="D23" s="260" t="s">
        <v>621</v>
      </c>
      <c r="E23" s="260">
        <v>0</v>
      </c>
      <c r="F23" s="260"/>
    </row>
    <row r="24" spans="1:6" s="309" customFormat="1" x14ac:dyDescent="0.25">
      <c r="A24" s="397" t="s">
        <v>12</v>
      </c>
      <c r="B24" s="398"/>
      <c r="C24" s="398"/>
      <c r="D24" s="399"/>
      <c r="E24" s="308">
        <f>E7+E9+E14+E18+E23</f>
        <v>636490000</v>
      </c>
      <c r="F24" s="308">
        <f>SUM(F9:F23)</f>
        <v>65.383376923023462</v>
      </c>
    </row>
    <row r="26" spans="1:6" s="310" customFormat="1" ht="34.5" customHeight="1" x14ac:dyDescent="0.25">
      <c r="A26" s="312" t="s">
        <v>646</v>
      </c>
      <c r="B26" s="393" t="s">
        <v>647</v>
      </c>
      <c r="C26" s="393"/>
      <c r="D26" s="394" t="s">
        <v>648</v>
      </c>
      <c r="E26" s="394"/>
      <c r="F26" s="394"/>
    </row>
    <row r="27" spans="1:6" s="310" customFormat="1" ht="30.75" customHeight="1" x14ac:dyDescent="0.25">
      <c r="A27" s="311"/>
      <c r="B27" s="311"/>
      <c r="C27" s="311"/>
      <c r="D27" s="394" t="s">
        <v>649</v>
      </c>
      <c r="E27" s="394"/>
      <c r="F27" s="394"/>
    </row>
  </sheetData>
  <mergeCells count="15">
    <mergeCell ref="A6:B6"/>
    <mergeCell ref="A1:F1"/>
    <mergeCell ref="A2:F2"/>
    <mergeCell ref="A3:F3"/>
    <mergeCell ref="A4:F4"/>
    <mergeCell ref="A5:D5"/>
    <mergeCell ref="B26:C26"/>
    <mergeCell ref="D26:F26"/>
    <mergeCell ref="D27:F27"/>
    <mergeCell ref="A7:B7"/>
    <mergeCell ref="A9:B9"/>
    <mergeCell ref="A14:B14"/>
    <mergeCell ref="A18:B18"/>
    <mergeCell ref="A23:B23"/>
    <mergeCell ref="A24:D24"/>
  </mergeCells>
  <pageMargins left="0.7" right="0.7" top="0.75" bottom="0.75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H17" sqref="H17"/>
    </sheetView>
  </sheetViews>
  <sheetFormatPr defaultRowHeight="15" x14ac:dyDescent="0.25"/>
  <cols>
    <col min="1" max="1" width="4.42578125" customWidth="1"/>
  </cols>
  <sheetData>
    <row r="1" spans="1:2" x14ac:dyDescent="0.25">
      <c r="A1" t="s">
        <v>656</v>
      </c>
    </row>
    <row r="3" spans="1:2" x14ac:dyDescent="0.25">
      <c r="A3" t="s">
        <v>657</v>
      </c>
    </row>
    <row r="4" spans="1:2" x14ac:dyDescent="0.25">
      <c r="A4" t="s">
        <v>658</v>
      </c>
    </row>
    <row r="5" spans="1:2" x14ac:dyDescent="0.25">
      <c r="A5" t="s">
        <v>659</v>
      </c>
      <c r="B5" t="s">
        <v>660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>
      <selection activeCell="H25" sqref="H25"/>
    </sheetView>
  </sheetViews>
  <sheetFormatPr defaultRowHeight="15" x14ac:dyDescent="0.25"/>
  <cols>
    <col min="1" max="1" width="3.5703125" bestFit="1" customWidth="1"/>
    <col min="2" max="2" width="2.5703125" bestFit="1" customWidth="1"/>
    <col min="3" max="3" width="6.140625" bestFit="1" customWidth="1"/>
    <col min="4" max="4" width="64.5703125" bestFit="1" customWidth="1"/>
    <col min="5" max="5" width="21.7109375" bestFit="1" customWidth="1"/>
  </cols>
  <sheetData>
    <row r="1" spans="1:13" x14ac:dyDescent="0.25">
      <c r="A1" s="389" t="s">
        <v>617</v>
      </c>
      <c r="B1" s="389"/>
      <c r="C1" s="389"/>
      <c r="D1" s="389"/>
      <c r="E1" s="389"/>
      <c r="F1" s="389"/>
      <c r="G1" s="285"/>
      <c r="H1" s="285"/>
      <c r="I1" s="285"/>
      <c r="J1" s="285"/>
      <c r="K1" s="285"/>
      <c r="L1" s="285"/>
      <c r="M1" s="285"/>
    </row>
    <row r="2" spans="1:13" x14ac:dyDescent="0.25">
      <c r="A2" s="389" t="s">
        <v>651</v>
      </c>
      <c r="B2" s="389"/>
      <c r="C2" s="389"/>
      <c r="D2" s="389"/>
      <c r="E2" s="389"/>
      <c r="F2" s="389"/>
      <c r="G2" s="281"/>
      <c r="H2" s="281"/>
      <c r="I2" s="285"/>
      <c r="J2" s="285"/>
      <c r="K2" s="285"/>
      <c r="L2" s="285"/>
      <c r="M2" s="285"/>
    </row>
    <row r="3" spans="1:13" s="280" customFormat="1" ht="35.25" customHeight="1" x14ac:dyDescent="0.25">
      <c r="A3" s="390" t="s">
        <v>618</v>
      </c>
      <c r="B3" s="390"/>
      <c r="C3" s="390"/>
      <c r="D3" s="390"/>
      <c r="E3" s="390"/>
      <c r="F3" s="390"/>
      <c r="G3" s="286"/>
      <c r="H3" s="286"/>
      <c r="I3" s="286"/>
      <c r="J3" s="286"/>
      <c r="K3" s="286"/>
      <c r="L3" s="286"/>
      <c r="M3" s="286"/>
    </row>
    <row r="4" spans="1:13" s="284" customFormat="1" ht="43.5" customHeight="1" x14ac:dyDescent="0.25">
      <c r="A4" s="391" t="s">
        <v>619</v>
      </c>
      <c r="B4" s="391"/>
      <c r="C4" s="391"/>
      <c r="D4" s="391"/>
      <c r="E4" s="391"/>
      <c r="F4" s="391"/>
      <c r="G4" s="303"/>
      <c r="H4" s="303"/>
      <c r="I4" s="303"/>
      <c r="J4" s="303"/>
      <c r="K4" s="303"/>
      <c r="L4" s="303"/>
      <c r="M4" s="303"/>
    </row>
    <row r="5" spans="1:13" s="284" customFormat="1" ht="15.75" x14ac:dyDescent="0.25">
      <c r="A5" s="392" t="s">
        <v>650</v>
      </c>
      <c r="B5" s="392"/>
      <c r="C5" s="392"/>
      <c r="D5" s="392"/>
      <c r="E5" s="313">
        <f>'UNTUK APBDESA 2024'!M5</f>
        <v>1126340000</v>
      </c>
      <c r="F5" s="283"/>
      <c r="G5" s="283"/>
      <c r="H5" s="283"/>
      <c r="I5" s="283"/>
      <c r="J5" s="283"/>
      <c r="K5" s="283"/>
      <c r="L5" s="283"/>
      <c r="M5" s="283"/>
    </row>
    <row r="6" spans="1:13" s="299" customFormat="1" ht="43.5" customHeight="1" x14ac:dyDescent="0.25">
      <c r="A6" s="388" t="s">
        <v>630</v>
      </c>
      <c r="B6" s="388"/>
      <c r="C6" s="297" t="s">
        <v>631</v>
      </c>
      <c r="D6" s="297" t="s">
        <v>632</v>
      </c>
      <c r="E6" s="297" t="s">
        <v>633</v>
      </c>
      <c r="F6" s="297" t="s">
        <v>634</v>
      </c>
      <c r="G6" s="298"/>
      <c r="H6" s="298"/>
      <c r="I6" s="298"/>
      <c r="J6" s="298"/>
      <c r="K6" s="298"/>
      <c r="L6" s="298"/>
      <c r="M6" s="298"/>
    </row>
    <row r="7" spans="1:13" s="282" customFormat="1" x14ac:dyDescent="0.25">
      <c r="A7" s="395">
        <v>1</v>
      </c>
      <c r="B7" s="395"/>
      <c r="C7" s="289"/>
      <c r="D7" s="289" t="s">
        <v>622</v>
      </c>
      <c r="E7" s="290">
        <f>E8</f>
        <v>108000000</v>
      </c>
      <c r="F7" s="290">
        <f>E7/E5*100</f>
        <v>9.5885789370882684</v>
      </c>
    </row>
    <row r="8" spans="1:13" s="282" customFormat="1" x14ac:dyDescent="0.25">
      <c r="A8" s="291"/>
      <c r="B8" s="291" t="s">
        <v>625</v>
      </c>
      <c r="C8" s="292" t="s">
        <v>635</v>
      </c>
      <c r="D8" s="291" t="s">
        <v>626</v>
      </c>
      <c r="E8" s="293">
        <f>'UNTUK APBDESA 2024'!E466</f>
        <v>108000000</v>
      </c>
      <c r="F8" s="291"/>
    </row>
    <row r="9" spans="1:13" s="287" customFormat="1" x14ac:dyDescent="0.25">
      <c r="A9" s="395">
        <v>2</v>
      </c>
      <c r="B9" s="395"/>
      <c r="C9" s="289"/>
      <c r="D9" s="289" t="s">
        <v>623</v>
      </c>
      <c r="E9" s="290">
        <f>SUM(E10:E13)</f>
        <v>363490000</v>
      </c>
      <c r="F9" s="290">
        <f>E9/E5*100</f>
        <v>32.271782942983471</v>
      </c>
    </row>
    <row r="10" spans="1:13" s="288" customFormat="1" x14ac:dyDescent="0.25">
      <c r="A10" s="294"/>
      <c r="B10" s="294" t="s">
        <v>625</v>
      </c>
      <c r="C10" s="295" t="s">
        <v>629</v>
      </c>
      <c r="D10" s="294" t="str">
        <f>'UNTUK APBDESA 2024'!D277</f>
        <v>Pembangunan/Rehabilitasi/Peningkatan/Pengerasan Jalan Usaha Tani</v>
      </c>
      <c r="E10" s="296">
        <f>'UNTUK APBDESA 2024'!E277</f>
        <v>143490000</v>
      </c>
      <c r="F10" s="294"/>
    </row>
    <row r="11" spans="1:13" s="288" customFormat="1" ht="30" x14ac:dyDescent="0.25">
      <c r="A11" s="294"/>
      <c r="B11" s="294" t="s">
        <v>627</v>
      </c>
      <c r="C11" s="295" t="s">
        <v>636</v>
      </c>
      <c r="D11" s="294" t="str">
        <f>'UNTUK APBDESA 2024'!D305</f>
        <v>Pembangunan/Rehabilitasi/Peningkatan Sambungan Air Bersih ke Rumah Tangga (pipanisasi, dll) **</v>
      </c>
      <c r="E11" s="296">
        <f>'UNTUK APBDESA 2024'!E306</f>
        <v>160000000</v>
      </c>
      <c r="F11" s="294"/>
    </row>
    <row r="12" spans="1:13" s="288" customFormat="1" ht="30" x14ac:dyDescent="0.25">
      <c r="A12" s="294"/>
      <c r="B12" s="294" t="s">
        <v>628</v>
      </c>
      <c r="C12" s="295" t="s">
        <v>637</v>
      </c>
      <c r="D12" s="294" t="str">
        <f>'UNTUK APBDESA 2024'!D416</f>
        <v>Peningkatan Produksi Tanaman Pangan (Alat Produksi dan pengolahan pertanian, penggilingan Padi/jagung, dll)</v>
      </c>
      <c r="E12" s="296">
        <f>'UNTUK APBDESA 2024'!E416</f>
        <v>5000000</v>
      </c>
      <c r="F12" s="294"/>
    </row>
    <row r="13" spans="1:13" s="288" customFormat="1" ht="30" x14ac:dyDescent="0.25">
      <c r="A13" s="294"/>
      <c r="B13" s="294" t="s">
        <v>639</v>
      </c>
      <c r="C13" s="295" t="s">
        <v>638</v>
      </c>
      <c r="D13" s="294" t="str">
        <f>'UNTUK APBDESA 2024'!D418</f>
        <v>Peningkatan Produksi Peternakan (Alat Produksi dan pengolahan peternakan, kandang, dll)</v>
      </c>
      <c r="E13" s="296">
        <f>'UNTUK APBDESA 2024'!E418</f>
        <v>55000000</v>
      </c>
      <c r="F13" s="294"/>
    </row>
    <row r="14" spans="1:13" s="306" customFormat="1" x14ac:dyDescent="0.25">
      <c r="A14" s="396">
        <v>3</v>
      </c>
      <c r="B14" s="396"/>
      <c r="C14" s="304" t="s">
        <v>644</v>
      </c>
      <c r="D14" s="260" t="s">
        <v>624</v>
      </c>
      <c r="E14" s="305">
        <f>SUM(E15:E17)</f>
        <v>30000000</v>
      </c>
      <c r="F14" s="305">
        <f>E14/E5*100</f>
        <v>2.6634941491911857</v>
      </c>
    </row>
    <row r="15" spans="1:13" s="288" customFormat="1" x14ac:dyDescent="0.25">
      <c r="A15" s="294"/>
      <c r="B15" s="294"/>
      <c r="C15" s="307" t="s">
        <v>645</v>
      </c>
      <c r="D15" s="294" t="str">
        <f>'UNTUK APBDESA 2024'!D62</f>
        <v>Biaya koordinasi Pemerintahan Desa</v>
      </c>
      <c r="E15" s="296">
        <f>'UNTUK APBDESA 2024'!E62</f>
        <v>3000000</v>
      </c>
      <c r="F15" s="294"/>
    </row>
    <row r="16" spans="1:13" s="288" customFormat="1" ht="30" x14ac:dyDescent="0.25">
      <c r="A16" s="294"/>
      <c r="B16" s="294"/>
      <c r="C16" s="307" t="s">
        <v>645</v>
      </c>
      <c r="D16" s="294" t="str">
        <f>'UNTUK APBDESA 2024'!D65</f>
        <v>Dukungan Penyelenggaraan pencegahan dan penanggulangan kerawanan sosial</v>
      </c>
      <c r="E16" s="296">
        <f>'UNTUK APBDESA 2024'!E65</f>
        <v>5000000</v>
      </c>
      <c r="F16" s="294"/>
    </row>
    <row r="17" spans="1:6" s="288" customFormat="1" x14ac:dyDescent="0.25">
      <c r="A17" s="294"/>
      <c r="B17" s="294"/>
      <c r="C17" s="307" t="s">
        <v>645</v>
      </c>
      <c r="D17" s="294" t="str">
        <f>'UNTUK APBDESA 2024'!D68</f>
        <v>Dukungan acara seremonial di Desa</v>
      </c>
      <c r="E17" s="296">
        <f>'UNTUK APBDESA 2024'!E68</f>
        <v>22000000</v>
      </c>
      <c r="F17" s="294"/>
    </row>
    <row r="18" spans="1:6" s="306" customFormat="1" x14ac:dyDescent="0.25">
      <c r="A18" s="396">
        <v>4</v>
      </c>
      <c r="B18" s="396"/>
      <c r="C18" s="260"/>
      <c r="D18" s="260" t="s">
        <v>620</v>
      </c>
      <c r="E18" s="305">
        <f>SUM(E19:E22)</f>
        <v>131600000</v>
      </c>
      <c r="F18" s="305">
        <f>E18/E5*100</f>
        <v>11.683861001118668</v>
      </c>
    </row>
    <row r="19" spans="1:6" s="288" customFormat="1" hidden="1" x14ac:dyDescent="0.25">
      <c r="A19" s="294"/>
      <c r="B19" s="294" t="s">
        <v>625</v>
      </c>
      <c r="C19" s="295" t="s">
        <v>640</v>
      </c>
      <c r="D19" s="294" t="str">
        <f>'UNTUK APBDESA 2024'!D203</f>
        <v>Penyelenggaraan Poskesdes/Polindes Milik Desa</v>
      </c>
      <c r="E19" s="296">
        <v>0</v>
      </c>
      <c r="F19" s="294"/>
    </row>
    <row r="20" spans="1:6" s="288" customFormat="1" ht="20.25" customHeight="1" x14ac:dyDescent="0.25">
      <c r="A20" s="294"/>
      <c r="B20" s="294" t="s">
        <v>625</v>
      </c>
      <c r="C20" s="295" t="s">
        <v>641</v>
      </c>
      <c r="D20" s="294" t="str">
        <f>'UNTUK APBDESA 2024'!D207</f>
        <v xml:space="preserve">Penyelenggaraan Posyandu </v>
      </c>
      <c r="E20" s="296">
        <f>'UNTUK APBDESA 2024'!E207</f>
        <v>129600000</v>
      </c>
      <c r="F20" s="294"/>
    </row>
    <row r="21" spans="1:6" s="188" customFormat="1" x14ac:dyDescent="0.25">
      <c r="A21" s="300"/>
      <c r="B21" s="300" t="s">
        <v>627</v>
      </c>
      <c r="C21" s="301" t="s">
        <v>642</v>
      </c>
      <c r="D21" s="300" t="str">
        <f>'UNTUK APBDESA 2024'!D214</f>
        <v>Penyuluhan dan Pelatihan Bidang Kesehatan</v>
      </c>
      <c r="E21" s="302">
        <f>'UNTUK APBDESA 2024'!E214</f>
        <v>2000000</v>
      </c>
      <c r="F21" s="300"/>
    </row>
    <row r="22" spans="1:6" s="288" customFormat="1" ht="18" hidden="1" customHeight="1" x14ac:dyDescent="0.25">
      <c r="A22" s="294"/>
      <c r="B22" s="294" t="s">
        <v>628</v>
      </c>
      <c r="C22" s="295" t="s">
        <v>643</v>
      </c>
      <c r="D22" s="294" t="str">
        <f>'UNTUK APBDESA 2024'!D249</f>
        <v xml:space="preserve">Pengasuhan Bersama atau Bina keluarga Balita </v>
      </c>
      <c r="E22" s="296">
        <v>0</v>
      </c>
      <c r="F22" s="294"/>
    </row>
    <row r="23" spans="1:6" s="306" customFormat="1" x14ac:dyDescent="0.25">
      <c r="A23" s="396">
        <v>5</v>
      </c>
      <c r="B23" s="396"/>
      <c r="C23" s="260"/>
      <c r="D23" s="260" t="s">
        <v>621</v>
      </c>
      <c r="E23" s="260">
        <v>0</v>
      </c>
      <c r="F23" s="260"/>
    </row>
    <row r="24" spans="1:6" s="309" customFormat="1" x14ac:dyDescent="0.25">
      <c r="A24" s="397" t="s">
        <v>12</v>
      </c>
      <c r="B24" s="398"/>
      <c r="C24" s="398"/>
      <c r="D24" s="399"/>
      <c r="E24" s="308">
        <f>E7+E9+E14+E18+E23</f>
        <v>633090000</v>
      </c>
      <c r="F24" s="308">
        <f>SUM(F9:F23)</f>
        <v>46.61913809329333</v>
      </c>
    </row>
    <row r="26" spans="1:6" s="310" customFormat="1" ht="34.5" customHeight="1" x14ac:dyDescent="0.25">
      <c r="A26" s="312" t="s">
        <v>646</v>
      </c>
      <c r="B26" s="393" t="s">
        <v>647</v>
      </c>
      <c r="C26" s="393"/>
      <c r="D26" s="394" t="s">
        <v>648</v>
      </c>
      <c r="E26" s="394"/>
      <c r="F26" s="394"/>
    </row>
    <row r="27" spans="1:6" s="310" customFormat="1" ht="30.75" customHeight="1" x14ac:dyDescent="0.25">
      <c r="A27" s="311"/>
      <c r="B27" s="311"/>
      <c r="C27" s="311"/>
      <c r="D27" s="394" t="s">
        <v>649</v>
      </c>
      <c r="E27" s="394"/>
      <c r="F27" s="394"/>
    </row>
  </sheetData>
  <mergeCells count="15">
    <mergeCell ref="A7:B7"/>
    <mergeCell ref="A9:B9"/>
    <mergeCell ref="A4:F4"/>
    <mergeCell ref="A5:D5"/>
    <mergeCell ref="A1:F1"/>
    <mergeCell ref="A2:F2"/>
    <mergeCell ref="A3:F3"/>
    <mergeCell ref="A6:B6"/>
    <mergeCell ref="D26:F26"/>
    <mergeCell ref="D27:F27"/>
    <mergeCell ref="B26:C26"/>
    <mergeCell ref="A24:D24"/>
    <mergeCell ref="A14:B14"/>
    <mergeCell ref="A18:B18"/>
    <mergeCell ref="A23:B23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57"/>
  <sheetViews>
    <sheetView zoomScaleNormal="100" workbookViewId="0">
      <selection activeCell="E6" sqref="E6"/>
    </sheetView>
  </sheetViews>
  <sheetFormatPr defaultRowHeight="15" x14ac:dyDescent="0.25"/>
  <cols>
    <col min="1" max="1" width="3.5703125" customWidth="1"/>
    <col min="2" max="2" width="2" bestFit="1" customWidth="1"/>
    <col min="3" max="3" width="3.5703125" bestFit="1" customWidth="1"/>
    <col min="4" max="4" width="58.7109375" customWidth="1"/>
    <col min="5" max="5" width="16.5703125" customWidth="1"/>
    <col min="6" max="6" width="14.85546875" customWidth="1"/>
    <col min="8" max="8" width="16.28515625" bestFit="1" customWidth="1"/>
    <col min="9" max="9" width="17.140625" customWidth="1"/>
    <col min="10" max="10" width="14.85546875" bestFit="1" customWidth="1"/>
    <col min="11" max="11" width="16.140625" customWidth="1"/>
    <col min="12" max="12" width="15.85546875" customWidth="1"/>
    <col min="13" max="13" width="16.42578125" bestFit="1" customWidth="1"/>
    <col min="14" max="14" width="13.140625" customWidth="1"/>
    <col min="15" max="15" width="14" customWidth="1"/>
    <col min="16" max="16" width="12.42578125" customWidth="1"/>
    <col min="17" max="17" width="16.85546875" bestFit="1" customWidth="1"/>
  </cols>
  <sheetData>
    <row r="1" spans="1:19" ht="9" customHeight="1" x14ac:dyDescent="0.25">
      <c r="A1" s="377" t="s">
        <v>495</v>
      </c>
      <c r="B1" s="377"/>
      <c r="C1" s="377"/>
      <c r="D1" s="377"/>
      <c r="E1" s="377"/>
      <c r="F1" s="377"/>
    </row>
    <row r="2" spans="1:19" ht="8.25" customHeight="1" x14ac:dyDescent="0.25">
      <c r="A2" s="378"/>
      <c r="B2" s="378"/>
      <c r="C2" s="378"/>
      <c r="D2" s="378"/>
      <c r="E2" s="378"/>
      <c r="F2" s="378"/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236" t="s">
        <v>80</v>
      </c>
      <c r="H3" s="173"/>
    </row>
    <row r="4" spans="1:19" x14ac:dyDescent="0.25">
      <c r="A4" s="7">
        <v>1</v>
      </c>
      <c r="B4" s="7"/>
      <c r="C4" s="7"/>
      <c r="D4" s="7" t="s">
        <v>21</v>
      </c>
      <c r="E4" s="31">
        <f>E5+E78+E98+E118+E148</f>
        <v>1175359111.8099999</v>
      </c>
      <c r="F4" s="32"/>
      <c r="H4" s="147" t="s">
        <v>387</v>
      </c>
      <c r="I4" s="148" t="s">
        <v>0</v>
      </c>
      <c r="J4" s="148" t="s">
        <v>1</v>
      </c>
      <c r="K4" s="148" t="s">
        <v>2</v>
      </c>
      <c r="L4" s="149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2254970800</v>
      </c>
      <c r="S4" s="150" t="s">
        <v>390</v>
      </c>
    </row>
    <row r="5" spans="1:19" ht="32.25" customHeight="1" x14ac:dyDescent="0.25">
      <c r="A5" s="8">
        <v>1</v>
      </c>
      <c r="B5" s="8">
        <v>1</v>
      </c>
      <c r="C5" s="8"/>
      <c r="D5" s="6" t="s">
        <v>20</v>
      </c>
      <c r="E5" s="33">
        <f>E6+E11+E19+E33+E52+E55+E62+E73+E75</f>
        <v>790208502.99000001</v>
      </c>
      <c r="F5" s="8"/>
      <c r="H5" s="147" t="s">
        <v>391</v>
      </c>
      <c r="I5" s="151">
        <f>PAGU!B11</f>
        <v>600882100</v>
      </c>
      <c r="J5" s="151">
        <f>PAGU!C28</f>
        <v>172811800</v>
      </c>
      <c r="K5" s="151">
        <f>PAGU!E28</f>
        <v>59043900</v>
      </c>
      <c r="L5" s="151">
        <v>79249930</v>
      </c>
      <c r="M5" s="151">
        <v>1115833000</v>
      </c>
      <c r="N5" s="152">
        <v>5000000</v>
      </c>
      <c r="O5" s="152">
        <v>56400000</v>
      </c>
      <c r="P5" s="153">
        <v>250000000</v>
      </c>
      <c r="Q5" s="154">
        <f>SUM(I5:P5)</f>
        <v>2339220730</v>
      </c>
      <c r="S5">
        <v>92931398</v>
      </c>
    </row>
    <row r="6" spans="1:19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75806000</v>
      </c>
      <c r="F6" s="3" t="s">
        <v>0</v>
      </c>
      <c r="H6" s="147" t="s">
        <v>392</v>
      </c>
      <c r="I6" s="151">
        <f>E7+E8+E12+E13+E15+E16+E17+E19+E34+E36+E40+E50+E51+E53+E61+E89+E90+E119+E133+E141+E184+E320+E321+E412+E413</f>
        <v>639035617.13</v>
      </c>
      <c r="J6" s="151">
        <f>E44+E49+E79+E86+E97+E99+E110+E111+E123+E127+E128+E129+E138+E149+E152+E168+E342+E343+E355+E358+E380+E382+E389+E414+E415</f>
        <v>175939800</v>
      </c>
      <c r="K6" s="151">
        <f>E47+E109+E136+E341+E359+E360++E373+E388</f>
        <v>62788500</v>
      </c>
      <c r="L6" s="151">
        <f>E9+E14+E18+E37+E43+E45+E46+E48+E54+E55-E61+E88+E91+E170</f>
        <v>58085808.82</v>
      </c>
      <c r="M6" s="151">
        <f>E62+E107+E158+E175+E182+E185+E186+E187+E188+E193+E196+E200+E207+E240+E242+E244+E263+E274+E279+E291+E295+E319+E331+E399+E401+E417+E444+E448</f>
        <v>1187954369.25</v>
      </c>
      <c r="N6" s="151">
        <f>E38+E41+E42</f>
        <v>7697885.8600000003</v>
      </c>
      <c r="O6" s="151">
        <f>E73+E75</f>
        <v>56400000</v>
      </c>
      <c r="P6" s="155">
        <f>E96</f>
        <v>250000000</v>
      </c>
      <c r="Q6" s="156">
        <f>SUM(I6:P6)</f>
        <v>2437901981.0599999</v>
      </c>
      <c r="R6" s="79"/>
      <c r="S6" s="157">
        <f>S5+Q7</f>
        <v>-5749853.0599999428</v>
      </c>
    </row>
    <row r="7" spans="1:19" x14ac:dyDescent="0.25">
      <c r="A7" s="3"/>
      <c r="B7" s="3"/>
      <c r="C7" s="34"/>
      <c r="D7" s="36" t="s">
        <v>455</v>
      </c>
      <c r="E7" s="37">
        <v>48456000</v>
      </c>
      <c r="F7" s="37"/>
      <c r="H7" s="147"/>
      <c r="I7" s="155"/>
      <c r="J7" s="155"/>
      <c r="K7" s="155"/>
      <c r="L7" s="151"/>
      <c r="M7" s="155"/>
      <c r="N7" s="155"/>
      <c r="O7" s="155"/>
      <c r="P7" s="155"/>
      <c r="Q7" s="158">
        <f>Q5-Q6</f>
        <v>-98681251.059999943</v>
      </c>
      <c r="R7" s="79"/>
      <c r="S7" s="79"/>
    </row>
    <row r="8" spans="1:19" x14ac:dyDescent="0.25">
      <c r="A8" s="3"/>
      <c r="B8" s="3"/>
      <c r="C8" s="34"/>
      <c r="D8" s="227" t="s">
        <v>505</v>
      </c>
      <c r="E8" s="40">
        <f>2150000*9+1900000+1900000+1900000</f>
        <v>25050000</v>
      </c>
      <c r="F8" s="37"/>
      <c r="H8" s="147" t="s">
        <v>393</v>
      </c>
      <c r="I8" s="152">
        <f>I5-I6</f>
        <v>-38153517.129999995</v>
      </c>
      <c r="J8" s="152">
        <f t="shared" ref="J8:P8" si="0">J5-J6</f>
        <v>-3128000</v>
      </c>
      <c r="K8" s="152">
        <f t="shared" si="0"/>
        <v>-3744600</v>
      </c>
      <c r="L8" s="152">
        <f t="shared" si="0"/>
        <v>21164121.18</v>
      </c>
      <c r="M8" s="151">
        <f>M5-M6</f>
        <v>-72121369.25</v>
      </c>
      <c r="N8" s="151">
        <f t="shared" si="0"/>
        <v>-2697885.8600000003</v>
      </c>
      <c r="O8" s="151">
        <f t="shared" si="0"/>
        <v>0</v>
      </c>
      <c r="P8" s="155">
        <f t="shared" si="0"/>
        <v>0</v>
      </c>
      <c r="Q8" s="156"/>
      <c r="R8" s="79"/>
      <c r="S8" s="79"/>
    </row>
    <row r="9" spans="1:19" x14ac:dyDescent="0.25">
      <c r="A9" s="3"/>
      <c r="B9" s="3"/>
      <c r="C9" s="34"/>
      <c r="D9" s="36" t="s">
        <v>88</v>
      </c>
      <c r="E9" s="40">
        <v>2300000</v>
      </c>
      <c r="F9" s="36" t="s">
        <v>6</v>
      </c>
      <c r="H9" s="79"/>
      <c r="I9" s="79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x14ac:dyDescent="0.25">
      <c r="A10" s="3"/>
      <c r="B10" s="3"/>
      <c r="C10" s="34"/>
      <c r="D10" s="38"/>
      <c r="E10" s="37"/>
      <c r="F10" s="3"/>
      <c r="H10" s="26" t="s">
        <v>395</v>
      </c>
      <c r="I10" s="25">
        <f>Q6-P6-O6</f>
        <v>2131501981.0599999</v>
      </c>
      <c r="J10" s="79">
        <v>630000000</v>
      </c>
      <c r="K10" s="159">
        <f>J5+K5</f>
        <v>231855700</v>
      </c>
      <c r="L10" s="159"/>
      <c r="M10" s="79">
        <f>M6*5%</f>
        <v>59397718.462500006</v>
      </c>
      <c r="N10" s="157"/>
      <c r="O10" s="157"/>
      <c r="P10" s="79"/>
      <c r="Q10" s="157"/>
      <c r="R10" s="79"/>
      <c r="S10" s="79"/>
    </row>
    <row r="11" spans="1:19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404518960</v>
      </c>
      <c r="F11" s="2" t="s">
        <v>90</v>
      </c>
      <c r="H11" s="160">
        <v>0.3</v>
      </c>
      <c r="I11" s="161">
        <f>I10*30%</f>
        <v>639450594.31799996</v>
      </c>
      <c r="K11" s="162">
        <f>J6+K6</f>
        <v>238728300</v>
      </c>
      <c r="L11" s="163"/>
      <c r="M11" s="164">
        <f>M5+M10</f>
        <v>1175230718.4625001</v>
      </c>
      <c r="Q11" s="165">
        <v>601441000</v>
      </c>
      <c r="R11" s="79"/>
      <c r="S11" s="79"/>
    </row>
    <row r="12" spans="1:19" x14ac:dyDescent="0.25">
      <c r="A12" s="3"/>
      <c r="B12" s="3"/>
      <c r="C12" s="34"/>
      <c r="D12" s="36" t="s">
        <v>456</v>
      </c>
      <c r="E12" s="37">
        <v>33919200</v>
      </c>
      <c r="F12" s="39" t="s">
        <v>0</v>
      </c>
      <c r="H12" s="20" t="s">
        <v>396</v>
      </c>
      <c r="I12" s="166">
        <f>E5-E33-E62-E73-E75</f>
        <v>566470560</v>
      </c>
      <c r="J12" s="167">
        <f>I12/I10*100</f>
        <v>26.576121675396852</v>
      </c>
      <c r="K12" s="168" t="s">
        <v>397</v>
      </c>
      <c r="L12" s="169">
        <f>I5*5%</f>
        <v>30044105</v>
      </c>
      <c r="M12" s="164">
        <f>M5+M19</f>
        <v>1196954369.25</v>
      </c>
      <c r="O12" s="164">
        <f>M5-239300000</f>
        <v>876533000</v>
      </c>
      <c r="P12" s="1"/>
      <c r="Q12" s="1">
        <v>582565000</v>
      </c>
      <c r="R12" s="79"/>
      <c r="S12" s="79"/>
    </row>
    <row r="13" spans="1:19" x14ac:dyDescent="0.25">
      <c r="A13" s="3"/>
      <c r="B13" s="3"/>
      <c r="C13" s="34"/>
      <c r="D13" s="227" t="s">
        <v>506</v>
      </c>
      <c r="E13" s="40">
        <f>1600000*9+1400000+1400000+1400000</f>
        <v>18600000</v>
      </c>
      <c r="F13" s="39" t="s">
        <v>0</v>
      </c>
      <c r="H13" s="20" t="s">
        <v>398</v>
      </c>
      <c r="I13" s="170">
        <f>I11-I12</f>
        <v>72980034.317999959</v>
      </c>
      <c r="J13">
        <f>I5*5%</f>
        <v>30044105</v>
      </c>
      <c r="K13" s="171"/>
      <c r="L13" s="169"/>
      <c r="M13" s="164">
        <f>I5+J5+K5+M5+O5+P5</f>
        <v>2254970800</v>
      </c>
      <c r="Q13" s="164">
        <f>Q11-Q12</f>
        <v>18876000</v>
      </c>
      <c r="R13" s="79"/>
      <c r="S13" s="79"/>
    </row>
    <row r="14" spans="1:19" x14ac:dyDescent="0.25">
      <c r="A14" s="3"/>
      <c r="B14" s="3"/>
      <c r="C14" s="34"/>
      <c r="D14" s="36" t="s">
        <v>93</v>
      </c>
      <c r="E14" s="40">
        <v>1750000</v>
      </c>
      <c r="F14" s="39" t="s">
        <v>6</v>
      </c>
      <c r="H14" s="171"/>
      <c r="I14" s="172"/>
      <c r="J14" s="164">
        <f>I5+J13</f>
        <v>630926205</v>
      </c>
      <c r="K14" s="171"/>
      <c r="L14" s="169"/>
      <c r="M14" s="164"/>
      <c r="P14" t="s">
        <v>504</v>
      </c>
      <c r="Q14" s="164">
        <f>M5*25%</f>
        <v>278958250</v>
      </c>
      <c r="R14" s="79"/>
      <c r="S14" s="79"/>
    </row>
    <row r="15" spans="1:19" x14ac:dyDescent="0.25">
      <c r="A15" s="3"/>
      <c r="B15" s="3"/>
      <c r="C15" s="34"/>
      <c r="D15" s="36" t="s">
        <v>457</v>
      </c>
      <c r="E15" s="37">
        <v>218399760</v>
      </c>
      <c r="F15" s="36" t="s">
        <v>0</v>
      </c>
      <c r="H15" s="173">
        <f>E12+E15+E16</f>
        <v>252318960</v>
      </c>
      <c r="I15" s="173">
        <f>E14+E18</f>
        <v>13450000</v>
      </c>
      <c r="K15">
        <f>11*12</f>
        <v>132</v>
      </c>
      <c r="M15" s="173">
        <f>M5*8%</f>
        <v>89266640</v>
      </c>
      <c r="N15" s="164">
        <v>73000000</v>
      </c>
      <c r="P15" s="235" t="s">
        <v>502</v>
      </c>
      <c r="Q15" s="173">
        <f>M5-Q14</f>
        <v>836874750</v>
      </c>
    </row>
    <row r="16" spans="1:19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H16" s="173">
        <f>E13+E17</f>
        <v>138750000</v>
      </c>
      <c r="M16" s="173"/>
      <c r="N16" s="164"/>
      <c r="P16" t="s">
        <v>503</v>
      </c>
      <c r="Q16" s="173">
        <f>Q15*40%</f>
        <v>334749900</v>
      </c>
    </row>
    <row r="17" spans="1:17" x14ac:dyDescent="0.25">
      <c r="A17" s="3"/>
      <c r="B17" s="3"/>
      <c r="C17" s="34"/>
      <c r="D17" s="227" t="s">
        <v>507</v>
      </c>
      <c r="E17" s="40">
        <f>1150000*9*9+9000000+9000000+9000000</f>
        <v>120150000</v>
      </c>
      <c r="F17" s="36" t="s">
        <v>0</v>
      </c>
      <c r="H17" s="173">
        <f>SUM(E15:E16)</f>
        <v>218399760</v>
      </c>
      <c r="I17" s="173">
        <f>H17/108</f>
        <v>2022220</v>
      </c>
      <c r="J17" s="380">
        <f>J19+K19</f>
        <v>6872600</v>
      </c>
      <c r="K17" s="380"/>
      <c r="Q17" s="173">
        <f>Q16-334749900</f>
        <v>0</v>
      </c>
    </row>
    <row r="18" spans="1:17" x14ac:dyDescent="0.25">
      <c r="A18" s="3"/>
      <c r="B18" s="3"/>
      <c r="C18" s="34"/>
      <c r="D18" s="36" t="s">
        <v>97</v>
      </c>
      <c r="E18" s="254">
        <v>11700000</v>
      </c>
      <c r="F18" s="42" t="s">
        <v>6</v>
      </c>
      <c r="H18" s="26"/>
      <c r="I18" s="174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SUM(E20:E32)</f>
        <v>18795600</v>
      </c>
      <c r="F19" s="3" t="s">
        <v>0</v>
      </c>
      <c r="H19" s="182" t="s">
        <v>390</v>
      </c>
      <c r="I19" s="176">
        <v>10628517.130000001</v>
      </c>
      <c r="J19" s="177">
        <v>3128000</v>
      </c>
      <c r="K19" s="177">
        <v>3744600</v>
      </c>
      <c r="L19" s="177">
        <v>6360808.8200000003</v>
      </c>
      <c r="M19" s="197">
        <v>81121369.25</v>
      </c>
      <c r="N19" s="176">
        <v>2697885.86</v>
      </c>
      <c r="O19" s="176">
        <v>0</v>
      </c>
      <c r="P19" s="178">
        <v>0</v>
      </c>
      <c r="Q19" s="175"/>
    </row>
    <row r="20" spans="1:17" x14ac:dyDescent="0.25">
      <c r="A20" s="3"/>
      <c r="B20" s="3"/>
      <c r="C20" s="34"/>
      <c r="D20" s="43"/>
      <c r="E20" s="209" t="s">
        <v>480</v>
      </c>
      <c r="F20" s="210" t="s">
        <v>481</v>
      </c>
      <c r="H20" s="26" t="s">
        <v>399</v>
      </c>
      <c r="I20" s="381">
        <f>SUM(I19:N19)</f>
        <v>107681181.06</v>
      </c>
      <c r="J20" s="382"/>
      <c r="K20" s="382"/>
      <c r="L20" s="382"/>
      <c r="M20" s="382"/>
      <c r="N20" s="382"/>
      <c r="O20" s="382"/>
      <c r="P20" s="383"/>
      <c r="Q20" s="179"/>
    </row>
    <row r="21" spans="1:17" x14ac:dyDescent="0.25">
      <c r="A21" s="3"/>
      <c r="B21" s="3"/>
      <c r="C21" s="34"/>
      <c r="D21" s="43" t="s">
        <v>100</v>
      </c>
      <c r="E21" s="37">
        <f>F21*12</f>
        <v>1794000</v>
      </c>
      <c r="F21" s="37">
        <v>149500</v>
      </c>
      <c r="H21" s="180" t="s">
        <v>400</v>
      </c>
      <c r="I21" s="181">
        <f>I19-E16-E35-96753.61</f>
        <v>10531763.520000001</v>
      </c>
      <c r="J21" s="181">
        <f>J8+J19</f>
        <v>0</v>
      </c>
      <c r="K21" s="181">
        <f>K8+K19</f>
        <v>0</v>
      </c>
      <c r="L21" s="181">
        <f>L19</f>
        <v>6360808.8200000003</v>
      </c>
      <c r="M21" s="181">
        <f>M19</f>
        <v>81121369.25</v>
      </c>
      <c r="N21" s="181">
        <f>N8+N19</f>
        <v>0</v>
      </c>
      <c r="O21" s="181"/>
      <c r="P21" s="20"/>
      <c r="Q21" s="171"/>
    </row>
    <row r="22" spans="1:17" x14ac:dyDescent="0.25">
      <c r="A22" s="3"/>
      <c r="B22" s="3"/>
      <c r="C22" s="34"/>
      <c r="D22" s="43" t="s">
        <v>101</v>
      </c>
      <c r="E22" s="37">
        <f t="shared" ref="E22:E28" si="1">F22*12</f>
        <v>969600</v>
      </c>
      <c r="F22" s="37">
        <v>80800</v>
      </c>
      <c r="H22" s="26" t="s">
        <v>401</v>
      </c>
      <c r="I22" s="181">
        <f>I8+I19</f>
        <v>-27524999.999999993</v>
      </c>
      <c r="J22" s="181">
        <f>J8+J19</f>
        <v>0</v>
      </c>
      <c r="K22" s="181">
        <f>K8+K19</f>
        <v>0</v>
      </c>
      <c r="L22" s="181">
        <f>L8+L19</f>
        <v>27524930</v>
      </c>
      <c r="M22" s="181">
        <f>M8+M19-E450</f>
        <v>9000000</v>
      </c>
      <c r="N22" s="181">
        <f>N8+N19</f>
        <v>0</v>
      </c>
      <c r="O22" s="181"/>
      <c r="P22" s="20"/>
    </row>
    <row r="23" spans="1:17" x14ac:dyDescent="0.25">
      <c r="A23" s="3"/>
      <c r="B23" s="3"/>
      <c r="C23" s="34"/>
      <c r="D23" s="43" t="s">
        <v>102</v>
      </c>
      <c r="E23" s="37">
        <f t="shared" si="1"/>
        <v>146400</v>
      </c>
      <c r="F23" s="37">
        <v>12200</v>
      </c>
    </row>
    <row r="24" spans="1:17" x14ac:dyDescent="0.25">
      <c r="A24" s="3"/>
      <c r="B24" s="3"/>
      <c r="C24" s="34"/>
      <c r="D24" s="43" t="s">
        <v>103</v>
      </c>
      <c r="E24" s="37">
        <f t="shared" si="1"/>
        <v>116400</v>
      </c>
      <c r="F24" s="37">
        <v>9700</v>
      </c>
      <c r="I24" s="173">
        <f>E7+E8</f>
        <v>73506000</v>
      </c>
      <c r="K24" s="164"/>
    </row>
    <row r="25" spans="1:17" x14ac:dyDescent="0.25">
      <c r="A25" s="3"/>
      <c r="B25" s="3"/>
      <c r="C25" s="34"/>
      <c r="D25" s="43" t="s">
        <v>476</v>
      </c>
      <c r="E25" s="37">
        <f t="shared" si="1"/>
        <v>1255200</v>
      </c>
      <c r="F25" s="37">
        <v>104600</v>
      </c>
      <c r="I25" s="173"/>
      <c r="M25">
        <v>243711000</v>
      </c>
    </row>
    <row r="26" spans="1:17" x14ac:dyDescent="0.25">
      <c r="A26" s="3"/>
      <c r="B26" s="3"/>
      <c r="C26" s="34"/>
      <c r="D26" s="43" t="s">
        <v>477</v>
      </c>
      <c r="E26" s="37">
        <f t="shared" si="1"/>
        <v>679200</v>
      </c>
      <c r="F26" s="37">
        <v>56600</v>
      </c>
      <c r="I26" s="173"/>
      <c r="M26" s="164">
        <f>M25-M22</f>
        <v>234711000</v>
      </c>
    </row>
    <row r="27" spans="1:17" x14ac:dyDescent="0.25">
      <c r="A27" s="3"/>
      <c r="B27" s="3"/>
      <c r="C27" s="34"/>
      <c r="D27" s="43" t="s">
        <v>478</v>
      </c>
      <c r="E27" s="37">
        <f t="shared" si="1"/>
        <v>102000</v>
      </c>
      <c r="F27" s="37">
        <v>8500</v>
      </c>
      <c r="I27" s="173"/>
    </row>
    <row r="28" spans="1:17" x14ac:dyDescent="0.25">
      <c r="A28" s="3"/>
      <c r="B28" s="3"/>
      <c r="C28" s="34"/>
      <c r="D28" s="43" t="s">
        <v>479</v>
      </c>
      <c r="E28" s="37">
        <f t="shared" si="1"/>
        <v>81600</v>
      </c>
      <c r="F28" s="208">
        <v>6800</v>
      </c>
    </row>
    <row r="29" spans="1:17" x14ac:dyDescent="0.25">
      <c r="A29" s="3"/>
      <c r="B29" s="3"/>
      <c r="C29" s="34"/>
      <c r="D29" s="43" t="s">
        <v>105</v>
      </c>
      <c r="E29" s="37">
        <f>F29*9*12</f>
        <v>8089200</v>
      </c>
      <c r="F29" s="208">
        <v>74900</v>
      </c>
      <c r="H29" s="173">
        <f>SUM(F21:F24)</f>
        <v>252200</v>
      </c>
      <c r="I29">
        <f>9*12</f>
        <v>108</v>
      </c>
      <c r="L29" t="s">
        <v>437</v>
      </c>
      <c r="M29" s="194">
        <f>M5*3%</f>
        <v>33474990</v>
      </c>
      <c r="Q29" s="164">
        <f>I20+Q7</f>
        <v>8999930.0000000596</v>
      </c>
    </row>
    <row r="30" spans="1:17" x14ac:dyDescent="0.25">
      <c r="A30" s="3"/>
      <c r="B30" s="3"/>
      <c r="C30" s="34"/>
      <c r="D30" s="43" t="s">
        <v>106</v>
      </c>
      <c r="E30" s="37">
        <f t="shared" ref="E30:E32" si="2">F30*9*12</f>
        <v>4374000</v>
      </c>
      <c r="F30" s="208">
        <v>40500</v>
      </c>
      <c r="H30" s="173">
        <f>H29*12</f>
        <v>3026400</v>
      </c>
    </row>
    <row r="31" spans="1:17" x14ac:dyDescent="0.25">
      <c r="A31" s="3"/>
      <c r="B31" s="3"/>
      <c r="C31" s="34"/>
      <c r="D31" s="43" t="s">
        <v>107</v>
      </c>
      <c r="E31" s="37">
        <f t="shared" si="2"/>
        <v>658800</v>
      </c>
      <c r="F31" s="208">
        <v>6100</v>
      </c>
      <c r="I31">
        <f>L5*20%</f>
        <v>15849986</v>
      </c>
      <c r="K31" t="s">
        <v>442</v>
      </c>
      <c r="L31" s="164">
        <f>500000*12</f>
        <v>6000000</v>
      </c>
    </row>
    <row r="32" spans="1:17" x14ac:dyDescent="0.25">
      <c r="A32" s="3"/>
      <c r="B32" s="3"/>
      <c r="C32" s="34"/>
      <c r="D32" s="43" t="s">
        <v>108</v>
      </c>
      <c r="E32" s="37">
        <f t="shared" si="2"/>
        <v>529200</v>
      </c>
      <c r="F32" s="208">
        <v>4900</v>
      </c>
      <c r="I32" s="173">
        <f>E18+E14+E9</f>
        <v>15750000</v>
      </c>
      <c r="K32" t="s">
        <v>443</v>
      </c>
      <c r="L32" s="164">
        <f>300000*9*12</f>
        <v>32400000</v>
      </c>
    </row>
    <row r="33" spans="1:17" x14ac:dyDescent="0.25">
      <c r="A33" s="3">
        <v>1</v>
      </c>
      <c r="B33" s="3">
        <v>1</v>
      </c>
      <c r="C33" s="34" t="s">
        <v>109</v>
      </c>
      <c r="D33" s="4" t="s">
        <v>16</v>
      </c>
      <c r="E33" s="45">
        <f>SUM(E34:E51)</f>
        <v>135337942.99000001</v>
      </c>
      <c r="F33" s="2"/>
      <c r="L33" s="164">
        <f>SUM(L31:L32)</f>
        <v>38400000</v>
      </c>
    </row>
    <row r="34" spans="1:17" x14ac:dyDescent="0.25">
      <c r="A34" s="46"/>
      <c r="B34" s="46"/>
      <c r="C34" s="47"/>
      <c r="D34" s="48" t="s">
        <v>110</v>
      </c>
      <c r="E34" s="49">
        <v>7240057.1299999999</v>
      </c>
      <c r="F34" s="42" t="s">
        <v>0</v>
      </c>
      <c r="G34" t="s">
        <v>6</v>
      </c>
      <c r="H34" s="173">
        <f>E34/12</f>
        <v>603338.09416666662</v>
      </c>
    </row>
    <row r="35" spans="1:17" hidden="1" x14ac:dyDescent="0.25">
      <c r="A35" s="46"/>
      <c r="B35" s="46"/>
      <c r="C35" s="47"/>
      <c r="D35" s="48" t="s">
        <v>110</v>
      </c>
      <c r="E35" s="49">
        <v>0</v>
      </c>
      <c r="F35" s="42" t="s">
        <v>111</v>
      </c>
    </row>
    <row r="36" spans="1:17" x14ac:dyDescent="0.25">
      <c r="A36" s="46"/>
      <c r="B36" s="46"/>
      <c r="C36" s="47"/>
      <c r="D36" s="48" t="s">
        <v>112</v>
      </c>
      <c r="E36" s="49">
        <v>11000000</v>
      </c>
      <c r="F36" s="48" t="s">
        <v>0</v>
      </c>
      <c r="H36" s="173">
        <f>E38+I22</f>
        <v>-27327114.139999993</v>
      </c>
      <c r="I36" s="173">
        <f>E34+I22</f>
        <v>-20284942.869999994</v>
      </c>
      <c r="L36" s="164">
        <f>L5*20%</f>
        <v>15849986</v>
      </c>
      <c r="M36" s="164">
        <v>2300000</v>
      </c>
      <c r="N36" t="s">
        <v>521</v>
      </c>
      <c r="O36" s="164">
        <v>1650000</v>
      </c>
      <c r="P36" t="s">
        <v>524</v>
      </c>
    </row>
    <row r="37" spans="1:17" x14ac:dyDescent="0.25">
      <c r="A37" s="46"/>
      <c r="B37" s="46"/>
      <c r="C37" s="47"/>
      <c r="D37" s="48" t="s">
        <v>113</v>
      </c>
      <c r="E37" s="49">
        <v>1200000</v>
      </c>
      <c r="F37" s="48" t="s">
        <v>6</v>
      </c>
      <c r="L37" s="164">
        <f>L5*10%</f>
        <v>7924993</v>
      </c>
      <c r="M37" s="164">
        <v>1750000</v>
      </c>
      <c r="N37" t="s">
        <v>522</v>
      </c>
      <c r="O37" s="164">
        <v>1575000</v>
      </c>
      <c r="P37" s="164" t="s">
        <v>525</v>
      </c>
    </row>
    <row r="38" spans="1:17" x14ac:dyDescent="0.25">
      <c r="A38" s="46"/>
      <c r="B38" s="46"/>
      <c r="C38" s="47"/>
      <c r="D38" s="42" t="s">
        <v>114</v>
      </c>
      <c r="E38" s="50">
        <v>197885.86</v>
      </c>
      <c r="F38" s="42" t="s">
        <v>9</v>
      </c>
      <c r="G38" s="237" t="s">
        <v>0</v>
      </c>
      <c r="H38" s="173">
        <f>E38+112077.13</f>
        <v>309962.99</v>
      </c>
      <c r="I38" s="173">
        <f>E38+N22</f>
        <v>197885.86</v>
      </c>
      <c r="M38" s="164">
        <f>1300000*9</f>
        <v>11700000</v>
      </c>
      <c r="N38" s="164" t="s">
        <v>523</v>
      </c>
      <c r="O38" s="164">
        <v>1575000</v>
      </c>
      <c r="P38" t="s">
        <v>526</v>
      </c>
    </row>
    <row r="39" spans="1:17" hidden="1" x14ac:dyDescent="0.25">
      <c r="A39" s="46"/>
      <c r="B39" s="46"/>
      <c r="C39" s="47"/>
      <c r="D39" s="42" t="s">
        <v>115</v>
      </c>
      <c r="E39" s="50">
        <v>0</v>
      </c>
      <c r="F39" s="42" t="s">
        <v>0</v>
      </c>
      <c r="M39" s="164"/>
      <c r="O39" s="164"/>
    </row>
    <row r="40" spans="1:17" x14ac:dyDescent="0.25">
      <c r="A40" s="46"/>
      <c r="B40" s="46"/>
      <c r="C40" s="47"/>
      <c r="D40" s="42" t="s">
        <v>116</v>
      </c>
      <c r="E40" s="50">
        <v>4000000</v>
      </c>
      <c r="F40" s="42" t="s">
        <v>0</v>
      </c>
      <c r="H40" s="1">
        <f>39138840-27300</f>
        <v>39111540</v>
      </c>
      <c r="M40" s="194">
        <f>SUM(M36:M39)</f>
        <v>15750000</v>
      </c>
      <c r="O40" s="164">
        <v>1537500</v>
      </c>
      <c r="P40" s="164" t="s">
        <v>527</v>
      </c>
    </row>
    <row r="41" spans="1:17" x14ac:dyDescent="0.25">
      <c r="A41" s="46"/>
      <c r="B41" s="46"/>
      <c r="C41" s="47"/>
      <c r="D41" s="48" t="s">
        <v>410</v>
      </c>
      <c r="E41" s="49">
        <v>4000000</v>
      </c>
      <c r="F41" s="42" t="s">
        <v>9</v>
      </c>
      <c r="M41" s="164"/>
      <c r="O41" s="164">
        <v>1537500</v>
      </c>
      <c r="P41" t="s">
        <v>528</v>
      </c>
    </row>
    <row r="42" spans="1:17" x14ac:dyDescent="0.25">
      <c r="A42" s="46"/>
      <c r="B42" s="46"/>
      <c r="C42" s="47"/>
      <c r="D42" s="48" t="s">
        <v>410</v>
      </c>
      <c r="E42" s="49">
        <v>3500000</v>
      </c>
      <c r="F42" s="42" t="s">
        <v>433</v>
      </c>
      <c r="M42" s="164"/>
      <c r="O42" s="194">
        <f>SUM(O36:O41)</f>
        <v>7875000</v>
      </c>
      <c r="Q42" s="164">
        <f>L37-O42</f>
        <v>49993</v>
      </c>
    </row>
    <row r="43" spans="1:17" x14ac:dyDescent="0.25">
      <c r="A43" s="46"/>
      <c r="B43" s="46"/>
      <c r="C43" s="46"/>
      <c r="D43" s="42" t="s">
        <v>117</v>
      </c>
      <c r="E43" s="50">
        <v>1000000</v>
      </c>
      <c r="F43" s="42" t="s">
        <v>6</v>
      </c>
      <c r="H43" s="193" t="s">
        <v>430</v>
      </c>
      <c r="M43" s="164"/>
      <c r="Q43">
        <f>Q42/5</f>
        <v>9998.6</v>
      </c>
    </row>
    <row r="44" spans="1:17" x14ac:dyDescent="0.25">
      <c r="A44" s="46"/>
      <c r="B44" s="46"/>
      <c r="C44" s="46"/>
      <c r="D44" s="42" t="s">
        <v>118</v>
      </c>
      <c r="E44" s="50">
        <v>6000000</v>
      </c>
      <c r="F44" s="42" t="s">
        <v>1</v>
      </c>
      <c r="M44" s="164"/>
    </row>
    <row r="45" spans="1:17" x14ac:dyDescent="0.25">
      <c r="A45" s="46"/>
      <c r="B45" s="46"/>
      <c r="C45" s="46"/>
      <c r="D45" s="42" t="s">
        <v>118</v>
      </c>
      <c r="E45" s="50">
        <v>5000000</v>
      </c>
      <c r="F45" s="42" t="s">
        <v>6</v>
      </c>
      <c r="M45" s="164"/>
    </row>
    <row r="46" spans="1:17" x14ac:dyDescent="0.25">
      <c r="A46" s="46"/>
      <c r="B46" s="46"/>
      <c r="C46" s="46"/>
      <c r="D46" s="42" t="s">
        <v>118</v>
      </c>
      <c r="E46" s="50">
        <v>1000000</v>
      </c>
      <c r="F46" s="42" t="s">
        <v>431</v>
      </c>
      <c r="M46" s="164"/>
    </row>
    <row r="47" spans="1:17" x14ac:dyDescent="0.25">
      <c r="A47" s="46"/>
      <c r="B47" s="46"/>
      <c r="C47" s="46"/>
      <c r="D47" s="42" t="s">
        <v>118</v>
      </c>
      <c r="E47" s="50">
        <v>7000000</v>
      </c>
      <c r="F47" s="42" t="s">
        <v>2</v>
      </c>
    </row>
    <row r="48" spans="1:17" x14ac:dyDescent="0.25">
      <c r="A48" s="46"/>
      <c r="B48" s="46"/>
      <c r="C48" s="46"/>
      <c r="D48" s="42" t="s">
        <v>119</v>
      </c>
      <c r="E48" s="50">
        <v>10000000</v>
      </c>
      <c r="F48" s="42" t="s">
        <v>6</v>
      </c>
    </row>
    <row r="49" spans="1:10" x14ac:dyDescent="0.25">
      <c r="A49" s="46"/>
      <c r="B49" s="46"/>
      <c r="C49" s="46"/>
      <c r="D49" s="42" t="s">
        <v>120</v>
      </c>
      <c r="E49" s="50">
        <v>51000000</v>
      </c>
      <c r="F49" s="42" t="s">
        <v>1</v>
      </c>
      <c r="H49" s="173">
        <f>SUM(E49:E50)</f>
        <v>61200000</v>
      </c>
      <c r="I49" s="164">
        <f>800000*12</f>
        <v>9600000</v>
      </c>
      <c r="J49">
        <f>950000*9+750000+750000+750000</f>
        <v>10800000</v>
      </c>
    </row>
    <row r="50" spans="1:10" x14ac:dyDescent="0.25">
      <c r="A50" s="46"/>
      <c r="B50" s="46"/>
      <c r="C50" s="46"/>
      <c r="D50" s="42" t="s">
        <v>120</v>
      </c>
      <c r="E50" s="50">
        <v>10200000</v>
      </c>
      <c r="F50" s="42" t="s">
        <v>0</v>
      </c>
      <c r="I50" s="164">
        <f>700000*12</f>
        <v>8400000</v>
      </c>
      <c r="J50">
        <f>875000*9+675000+675000+675000</f>
        <v>9900000</v>
      </c>
    </row>
    <row r="51" spans="1:10" x14ac:dyDescent="0.25">
      <c r="A51" s="46"/>
      <c r="B51" s="46"/>
      <c r="C51" s="46"/>
      <c r="D51" s="42" t="s">
        <v>529</v>
      </c>
      <c r="E51" s="51">
        <v>13000000</v>
      </c>
      <c r="F51" s="42" t="s">
        <v>0</v>
      </c>
      <c r="H51" s="193">
        <f>1000000*13</f>
        <v>13000000</v>
      </c>
      <c r="I51" s="164">
        <f>600000*6*12</f>
        <v>43200000</v>
      </c>
      <c r="J51">
        <f>875000*9</f>
        <v>7875000</v>
      </c>
    </row>
    <row r="52" spans="1:10" x14ac:dyDescent="0.25">
      <c r="A52" s="5">
        <v>1</v>
      </c>
      <c r="B52" s="5">
        <v>1</v>
      </c>
      <c r="C52" s="53" t="s">
        <v>122</v>
      </c>
      <c r="D52" s="5" t="s">
        <v>17</v>
      </c>
      <c r="E52" s="54">
        <f>SUM(E53:E54)</f>
        <v>55350000</v>
      </c>
      <c r="F52" s="5" t="s">
        <v>0</v>
      </c>
      <c r="H52" s="193">
        <f>13*675000</f>
        <v>8775000</v>
      </c>
      <c r="I52" s="194">
        <f>SUM(I49:I51)</f>
        <v>61200000</v>
      </c>
      <c r="J52">
        <f>837500*9+637500+637500+637500</f>
        <v>9450000</v>
      </c>
    </row>
    <row r="53" spans="1:10" x14ac:dyDescent="0.25">
      <c r="A53" s="5"/>
      <c r="B53" s="5"/>
      <c r="C53" s="53"/>
      <c r="D53" s="239" t="s">
        <v>123</v>
      </c>
      <c r="E53" s="51">
        <v>47475000</v>
      </c>
      <c r="F53" s="42" t="s">
        <v>0</v>
      </c>
      <c r="I53" s="164">
        <f>I52/12</f>
        <v>5100000</v>
      </c>
      <c r="J53">
        <f>J52</f>
        <v>9450000</v>
      </c>
    </row>
    <row r="54" spans="1:10" x14ac:dyDescent="0.25">
      <c r="A54" s="5"/>
      <c r="B54" s="5"/>
      <c r="C54" s="53"/>
      <c r="D54" s="55" t="s">
        <v>124</v>
      </c>
      <c r="E54" s="51">
        <v>7875000</v>
      </c>
      <c r="F54" s="42" t="s">
        <v>6</v>
      </c>
      <c r="I54" s="164">
        <f>I53*2</f>
        <v>10200000</v>
      </c>
      <c r="J54" s="193">
        <f>SUM(J49:J53)</f>
        <v>47475000</v>
      </c>
    </row>
    <row r="55" spans="1:10" x14ac:dyDescent="0.25">
      <c r="A55" s="5">
        <v>1</v>
      </c>
      <c r="B55" s="5">
        <v>1</v>
      </c>
      <c r="C55" s="53" t="s">
        <v>125</v>
      </c>
      <c r="D55" s="5" t="s">
        <v>18</v>
      </c>
      <c r="E55" s="54">
        <f>SUM(E56:E61)</f>
        <v>12000000</v>
      </c>
      <c r="F55" s="5" t="s">
        <v>498</v>
      </c>
      <c r="I55" s="164">
        <f>I53*10</f>
        <v>51000000</v>
      </c>
    </row>
    <row r="56" spans="1:10" x14ac:dyDescent="0.25">
      <c r="A56" s="46"/>
      <c r="B56" s="46"/>
      <c r="C56" s="46"/>
      <c r="D56" s="42" t="s">
        <v>126</v>
      </c>
      <c r="E56" s="50">
        <v>500000</v>
      </c>
      <c r="F56" s="42" t="s">
        <v>6</v>
      </c>
      <c r="I56" s="164"/>
    </row>
    <row r="57" spans="1:10" x14ac:dyDescent="0.25">
      <c r="A57" s="46"/>
      <c r="B57" s="46"/>
      <c r="C57" s="46"/>
      <c r="D57" s="42" t="s">
        <v>530</v>
      </c>
      <c r="E57" s="51">
        <v>5000000</v>
      </c>
      <c r="F57" s="42"/>
      <c r="H57">
        <f>675000*5</f>
        <v>3375000</v>
      </c>
    </row>
    <row r="58" spans="1:10" x14ac:dyDescent="0.25">
      <c r="A58" s="46"/>
      <c r="B58" s="46"/>
      <c r="C58" s="46"/>
      <c r="D58" s="42" t="s">
        <v>127</v>
      </c>
      <c r="E58" s="50">
        <v>1500000</v>
      </c>
      <c r="F58" s="42" t="s">
        <v>6</v>
      </c>
      <c r="H58">
        <f>1000000*5</f>
        <v>5000000</v>
      </c>
    </row>
    <row r="59" spans="1:10" x14ac:dyDescent="0.25">
      <c r="A59" s="46"/>
      <c r="B59" s="46"/>
      <c r="C59" s="46"/>
      <c r="D59" s="42" t="s">
        <v>128</v>
      </c>
      <c r="E59" s="50">
        <v>2500000</v>
      </c>
      <c r="F59" s="42" t="s">
        <v>6</v>
      </c>
    </row>
    <row r="60" spans="1:10" x14ac:dyDescent="0.25">
      <c r="A60" s="46"/>
      <c r="B60" s="46"/>
      <c r="C60" s="46"/>
      <c r="D60" s="42" t="s">
        <v>129</v>
      </c>
      <c r="E60" s="50">
        <v>1000000</v>
      </c>
      <c r="F60" s="42" t="s">
        <v>6</v>
      </c>
    </row>
    <row r="61" spans="1:10" x14ac:dyDescent="0.25">
      <c r="A61" s="46"/>
      <c r="B61" s="46"/>
      <c r="C61" s="46"/>
      <c r="D61" s="42" t="s">
        <v>129</v>
      </c>
      <c r="E61" s="50">
        <v>1500000</v>
      </c>
      <c r="F61" s="42" t="s">
        <v>0</v>
      </c>
    </row>
    <row r="62" spans="1:10" x14ac:dyDescent="0.25">
      <c r="A62" s="5">
        <v>1</v>
      </c>
      <c r="B62" s="5">
        <v>1</v>
      </c>
      <c r="C62" s="53" t="s">
        <v>160</v>
      </c>
      <c r="D62" s="5" t="s">
        <v>438</v>
      </c>
      <c r="E62" s="54">
        <f>E63+E66+E69</f>
        <v>32000000</v>
      </c>
      <c r="F62" s="5" t="s">
        <v>3</v>
      </c>
      <c r="H62" s="194">
        <f>M5*3%</f>
        <v>33474990</v>
      </c>
    </row>
    <row r="63" spans="1:10" x14ac:dyDescent="0.25">
      <c r="A63" s="46"/>
      <c r="B63" s="46"/>
      <c r="C63" s="55" t="s">
        <v>85</v>
      </c>
      <c r="D63" s="63" t="s">
        <v>439</v>
      </c>
      <c r="E63" s="64">
        <f>E64+E65</f>
        <v>5000000</v>
      </c>
      <c r="F63" s="42"/>
      <c r="H63" s="173">
        <f>E62/M5*100</f>
        <v>2.8678126565534448</v>
      </c>
    </row>
    <row r="64" spans="1:10" x14ac:dyDescent="0.25">
      <c r="A64" s="46"/>
      <c r="B64" s="46"/>
      <c r="C64" s="55"/>
      <c r="D64" s="55" t="s">
        <v>468</v>
      </c>
      <c r="E64" s="50">
        <v>3000000</v>
      </c>
      <c r="F64" s="42"/>
    </row>
    <row r="65" spans="1:6" x14ac:dyDescent="0.25">
      <c r="A65" s="46"/>
      <c r="B65" s="46"/>
      <c r="C65" s="55"/>
      <c r="D65" s="55" t="s">
        <v>469</v>
      </c>
      <c r="E65" s="50">
        <v>2000000</v>
      </c>
      <c r="F65" s="42"/>
    </row>
    <row r="66" spans="1:6" s="188" customFormat="1" ht="30" x14ac:dyDescent="0.25">
      <c r="A66" s="97"/>
      <c r="B66" s="97"/>
      <c r="C66" s="38" t="s">
        <v>89</v>
      </c>
      <c r="D66" s="99" t="s">
        <v>440</v>
      </c>
      <c r="E66" s="100">
        <f>E67+E68</f>
        <v>7000000</v>
      </c>
      <c r="F66" s="36"/>
    </row>
    <row r="67" spans="1:6" s="188" customFormat="1" x14ac:dyDescent="0.25">
      <c r="A67" s="97"/>
      <c r="B67" s="97"/>
      <c r="C67" s="38"/>
      <c r="D67" s="101" t="s">
        <v>470</v>
      </c>
      <c r="E67" s="37">
        <v>2000000</v>
      </c>
      <c r="F67" s="36"/>
    </row>
    <row r="68" spans="1:6" s="188" customFormat="1" x14ac:dyDescent="0.25">
      <c r="A68" s="97"/>
      <c r="B68" s="97"/>
      <c r="C68" s="38"/>
      <c r="D68" s="101" t="s">
        <v>471</v>
      </c>
      <c r="E68" s="37">
        <v>5000000</v>
      </c>
      <c r="F68" s="36"/>
    </row>
    <row r="69" spans="1:6" x14ac:dyDescent="0.25">
      <c r="A69" s="46"/>
      <c r="B69" s="46"/>
      <c r="C69" s="55" t="s">
        <v>98</v>
      </c>
      <c r="D69" s="63" t="s">
        <v>441</v>
      </c>
      <c r="E69" s="64">
        <f>E70+E71+E72</f>
        <v>20000000</v>
      </c>
      <c r="F69" s="42"/>
    </row>
    <row r="70" spans="1:6" x14ac:dyDescent="0.25">
      <c r="A70" s="46"/>
      <c r="B70" s="46"/>
      <c r="C70" s="55"/>
      <c r="D70" s="55" t="s">
        <v>472</v>
      </c>
      <c r="E70" s="50">
        <v>5000000</v>
      </c>
      <c r="F70" s="42"/>
    </row>
    <row r="71" spans="1:6" x14ac:dyDescent="0.25">
      <c r="A71" s="46"/>
      <c r="B71" s="46"/>
      <c r="C71" s="55"/>
      <c r="D71" s="55" t="s">
        <v>473</v>
      </c>
      <c r="E71" s="50">
        <v>15000000</v>
      </c>
      <c r="F71" s="42"/>
    </row>
    <row r="72" spans="1:6" x14ac:dyDescent="0.25">
      <c r="A72" s="46"/>
      <c r="B72" s="46"/>
      <c r="C72" s="55"/>
      <c r="D72" s="55" t="s">
        <v>474</v>
      </c>
      <c r="E72" s="50">
        <v>0</v>
      </c>
      <c r="F72" s="42"/>
    </row>
    <row r="73" spans="1:6" x14ac:dyDescent="0.25">
      <c r="A73" s="5">
        <v>1</v>
      </c>
      <c r="B73" s="5">
        <v>1</v>
      </c>
      <c r="C73" s="53" t="s">
        <v>130</v>
      </c>
      <c r="D73" s="5" t="s">
        <v>19</v>
      </c>
      <c r="E73" s="54">
        <f>E74</f>
        <v>18000000</v>
      </c>
      <c r="F73" s="5" t="s">
        <v>131</v>
      </c>
    </row>
    <row r="74" spans="1:6" x14ac:dyDescent="0.25">
      <c r="A74" s="46"/>
      <c r="B74" s="46"/>
      <c r="C74" s="46"/>
      <c r="D74" s="42" t="s">
        <v>19</v>
      </c>
      <c r="E74" s="50">
        <v>18000000</v>
      </c>
      <c r="F74" s="42" t="s">
        <v>131</v>
      </c>
    </row>
    <row r="75" spans="1:6" x14ac:dyDescent="0.25">
      <c r="A75" s="5">
        <v>1</v>
      </c>
      <c r="B75" s="5">
        <v>1</v>
      </c>
      <c r="C75" s="53" t="s">
        <v>444</v>
      </c>
      <c r="D75" s="5" t="s">
        <v>445</v>
      </c>
      <c r="E75" s="54">
        <f>SUM(E76:E77)</f>
        <v>38400000</v>
      </c>
      <c r="F75" s="5" t="s">
        <v>131</v>
      </c>
    </row>
    <row r="76" spans="1:6" x14ac:dyDescent="0.25">
      <c r="A76" s="5"/>
      <c r="B76" s="5"/>
      <c r="C76" s="53"/>
      <c r="D76" s="42" t="s">
        <v>446</v>
      </c>
      <c r="E76" s="50">
        <v>6000000</v>
      </c>
      <c r="F76" s="42"/>
    </row>
    <row r="77" spans="1:6" x14ac:dyDescent="0.25">
      <c r="A77" s="46"/>
      <c r="B77" s="46"/>
      <c r="C77" s="46"/>
      <c r="D77" s="42" t="s">
        <v>447</v>
      </c>
      <c r="E77" s="50">
        <v>32400000</v>
      </c>
      <c r="F77" s="42"/>
    </row>
    <row r="78" spans="1:6" x14ac:dyDescent="0.25">
      <c r="A78" s="8">
        <v>1</v>
      </c>
      <c r="B78" s="8">
        <v>2</v>
      </c>
      <c r="C78" s="56"/>
      <c r="D78" s="8" t="s">
        <v>25</v>
      </c>
      <c r="E78" s="57">
        <f>E79+E84+E94</f>
        <v>317250608.81999999</v>
      </c>
      <c r="F78" s="58"/>
    </row>
    <row r="79" spans="1:6" x14ac:dyDescent="0.25">
      <c r="A79" s="5">
        <v>1</v>
      </c>
      <c r="B79" s="5">
        <v>2</v>
      </c>
      <c r="C79" s="53" t="s">
        <v>85</v>
      </c>
      <c r="D79" s="5" t="s">
        <v>22</v>
      </c>
      <c r="E79" s="54">
        <f>SUM(E80:E83)</f>
        <v>43811800</v>
      </c>
      <c r="F79" s="5" t="s">
        <v>1</v>
      </c>
    </row>
    <row r="80" spans="1:6" x14ac:dyDescent="0.25">
      <c r="A80" s="46"/>
      <c r="B80" s="46"/>
      <c r="C80" s="47"/>
      <c r="D80" s="42" t="s">
        <v>428</v>
      </c>
      <c r="E80" s="50">
        <v>14173600</v>
      </c>
      <c r="F80" s="42" t="s">
        <v>1</v>
      </c>
    </row>
    <row r="81" spans="1:8" x14ac:dyDescent="0.25">
      <c r="A81" s="46"/>
      <c r="B81" s="46"/>
      <c r="C81" s="47"/>
      <c r="D81" s="42" t="s">
        <v>423</v>
      </c>
      <c r="E81" s="50">
        <v>4000000</v>
      </c>
      <c r="F81" s="42" t="s">
        <v>1</v>
      </c>
      <c r="G81" s="204" t="s">
        <v>111</v>
      </c>
    </row>
    <row r="82" spans="1:8" x14ac:dyDescent="0.25">
      <c r="A82" s="46"/>
      <c r="B82" s="46"/>
      <c r="C82" s="47"/>
      <c r="D82" s="42" t="s">
        <v>459</v>
      </c>
      <c r="E82" s="50">
        <v>11000000</v>
      </c>
      <c r="F82" s="42" t="s">
        <v>1</v>
      </c>
      <c r="G82" s="204"/>
    </row>
    <row r="83" spans="1:8" x14ac:dyDescent="0.25">
      <c r="A83" s="46"/>
      <c r="B83" s="46"/>
      <c r="C83" s="47"/>
      <c r="D83" s="42" t="s">
        <v>460</v>
      </c>
      <c r="E83" s="50">
        <v>14638200</v>
      </c>
      <c r="F83" s="42" t="s">
        <v>1</v>
      </c>
      <c r="G83" s="204" t="s">
        <v>0</v>
      </c>
    </row>
    <row r="84" spans="1:8" x14ac:dyDescent="0.25">
      <c r="A84" s="3">
        <v>1</v>
      </c>
      <c r="B84" s="3">
        <v>2</v>
      </c>
      <c r="C84" s="34" t="s">
        <v>89</v>
      </c>
      <c r="D84" s="3" t="s">
        <v>23</v>
      </c>
      <c r="E84" s="35">
        <f>E85+E89+E90+E91</f>
        <v>19310808.82</v>
      </c>
      <c r="F84" s="59" t="s">
        <v>500</v>
      </c>
    </row>
    <row r="85" spans="1:8" x14ac:dyDescent="0.25">
      <c r="A85" s="5"/>
      <c r="B85" s="5"/>
      <c r="C85" s="53"/>
      <c r="D85" s="60" t="s">
        <v>134</v>
      </c>
      <c r="E85" s="61">
        <f>SUM(E86:E88)</f>
        <v>6135808.8200000003</v>
      </c>
      <c r="F85" s="60" t="s">
        <v>135</v>
      </c>
    </row>
    <row r="86" spans="1:8" x14ac:dyDescent="0.25">
      <c r="A86" s="5"/>
      <c r="B86" s="5"/>
      <c r="C86" s="53"/>
      <c r="D86" s="62" t="s">
        <v>136</v>
      </c>
      <c r="E86" s="49">
        <v>5000000</v>
      </c>
      <c r="F86" s="48" t="s">
        <v>1</v>
      </c>
    </row>
    <row r="87" spans="1:8" hidden="1" x14ac:dyDescent="0.25">
      <c r="A87" s="5"/>
      <c r="B87" s="5"/>
      <c r="C87" s="53"/>
      <c r="D87" s="62" t="s">
        <v>136</v>
      </c>
      <c r="E87" s="49">
        <v>0</v>
      </c>
      <c r="F87" s="48" t="s">
        <v>0</v>
      </c>
    </row>
    <row r="88" spans="1:8" x14ac:dyDescent="0.25">
      <c r="A88" s="5"/>
      <c r="B88" s="5"/>
      <c r="C88" s="53"/>
      <c r="D88" s="62" t="s">
        <v>137</v>
      </c>
      <c r="E88" s="49">
        <v>1135808.82</v>
      </c>
      <c r="F88" s="48" t="s">
        <v>6</v>
      </c>
      <c r="G88" s="185"/>
      <c r="H88" s="173"/>
    </row>
    <row r="89" spans="1:8" x14ac:dyDescent="0.25">
      <c r="A89" s="5"/>
      <c r="B89" s="5"/>
      <c r="C89" s="53"/>
      <c r="D89" s="63" t="s">
        <v>138</v>
      </c>
      <c r="E89" s="64">
        <v>500000</v>
      </c>
      <c r="F89" s="63" t="s">
        <v>0</v>
      </c>
      <c r="G89" s="238" t="s">
        <v>2</v>
      </c>
    </row>
    <row r="90" spans="1:8" x14ac:dyDescent="0.25">
      <c r="A90" s="5"/>
      <c r="B90" s="5"/>
      <c r="C90" s="53"/>
      <c r="D90" s="63" t="s">
        <v>139</v>
      </c>
      <c r="E90" s="229">
        <f>(800000*3)+(850000*9)</f>
        <v>10050000</v>
      </c>
      <c r="F90" s="63" t="s">
        <v>0</v>
      </c>
    </row>
    <row r="91" spans="1:8" x14ac:dyDescent="0.25">
      <c r="A91" s="5"/>
      <c r="B91" s="5"/>
      <c r="C91" s="53"/>
      <c r="D91" s="63" t="s">
        <v>140</v>
      </c>
      <c r="E91" s="64">
        <f>E92+E93</f>
        <v>2625000</v>
      </c>
      <c r="F91" s="63" t="s">
        <v>6</v>
      </c>
    </row>
    <row r="92" spans="1:8" x14ac:dyDescent="0.25">
      <c r="A92" s="5"/>
      <c r="B92" s="5"/>
      <c r="C92" s="53"/>
      <c r="D92" s="65" t="s">
        <v>141</v>
      </c>
      <c r="E92" s="66">
        <v>1500000</v>
      </c>
      <c r="F92" s="67"/>
    </row>
    <row r="93" spans="1:8" x14ac:dyDescent="0.25">
      <c r="A93" s="5"/>
      <c r="B93" s="5"/>
      <c r="C93" s="53"/>
      <c r="D93" s="65" t="s">
        <v>142</v>
      </c>
      <c r="E93" s="66">
        <v>1125000</v>
      </c>
      <c r="F93" s="67"/>
    </row>
    <row r="94" spans="1:8" ht="30" x14ac:dyDescent="0.25">
      <c r="A94" s="3">
        <v>1</v>
      </c>
      <c r="B94" s="3">
        <v>2</v>
      </c>
      <c r="C94" s="34" t="s">
        <v>98</v>
      </c>
      <c r="D94" s="2" t="s">
        <v>24</v>
      </c>
      <c r="E94" s="35">
        <f>SUM(E95:E97)</f>
        <v>254128000</v>
      </c>
      <c r="F94" s="3" t="s">
        <v>4</v>
      </c>
    </row>
    <row r="95" spans="1:8" hidden="1" x14ac:dyDescent="0.25">
      <c r="A95" s="3"/>
      <c r="B95" s="3"/>
      <c r="C95" s="34"/>
      <c r="D95" s="65" t="s">
        <v>143</v>
      </c>
      <c r="E95" s="37">
        <v>0</v>
      </c>
      <c r="F95" s="36" t="s">
        <v>6</v>
      </c>
    </row>
    <row r="96" spans="1:8" x14ac:dyDescent="0.25">
      <c r="A96" s="5"/>
      <c r="B96" s="5"/>
      <c r="C96" s="53"/>
      <c r="D96" s="65" t="s">
        <v>143</v>
      </c>
      <c r="E96" s="66">
        <v>250000000</v>
      </c>
      <c r="F96" s="67" t="s">
        <v>4</v>
      </c>
    </row>
    <row r="97" spans="1:8" x14ac:dyDescent="0.25">
      <c r="A97" s="5"/>
      <c r="B97" s="5"/>
      <c r="C97" s="53"/>
      <c r="D97" s="65" t="s">
        <v>462</v>
      </c>
      <c r="E97" s="66">
        <v>4128000</v>
      </c>
      <c r="F97" s="67" t="s">
        <v>1</v>
      </c>
      <c r="H97">
        <f>5000000-872000</f>
        <v>4128000</v>
      </c>
    </row>
    <row r="98" spans="1:8" ht="30" x14ac:dyDescent="0.25">
      <c r="A98" s="68">
        <v>1</v>
      </c>
      <c r="B98" s="68">
        <v>3</v>
      </c>
      <c r="C98" s="68"/>
      <c r="D98" s="9" t="s">
        <v>26</v>
      </c>
      <c r="E98" s="33">
        <f>E99+E103+E108+E111</f>
        <v>20700000</v>
      </c>
      <c r="F98" s="69"/>
    </row>
    <row r="99" spans="1:8" x14ac:dyDescent="0.25">
      <c r="A99" s="5">
        <v>1</v>
      </c>
      <c r="B99" s="5">
        <v>3</v>
      </c>
      <c r="C99" s="53" t="s">
        <v>85</v>
      </c>
      <c r="D99" s="70" t="s">
        <v>27</v>
      </c>
      <c r="E99" s="54">
        <f>SUM(E100:E102)</f>
        <v>2000000</v>
      </c>
      <c r="F99" s="12" t="s">
        <v>427</v>
      </c>
    </row>
    <row r="100" spans="1:8" x14ac:dyDescent="0.25">
      <c r="A100" s="46"/>
      <c r="B100" s="46"/>
      <c r="C100" s="46"/>
      <c r="D100" s="71" t="s">
        <v>144</v>
      </c>
      <c r="E100" s="50">
        <v>1000000</v>
      </c>
      <c r="F100" s="71" t="s">
        <v>426</v>
      </c>
    </row>
    <row r="101" spans="1:8" x14ac:dyDescent="0.25">
      <c r="A101" s="46"/>
      <c r="B101" s="46"/>
      <c r="C101" s="46"/>
      <c r="D101" s="71" t="s">
        <v>145</v>
      </c>
      <c r="E101" s="50">
        <v>500000</v>
      </c>
      <c r="F101" s="71" t="s">
        <v>1</v>
      </c>
    </row>
    <row r="102" spans="1:8" x14ac:dyDescent="0.25">
      <c r="A102" s="46"/>
      <c r="B102" s="46"/>
      <c r="C102" s="46"/>
      <c r="D102" s="71" t="s">
        <v>425</v>
      </c>
      <c r="E102" s="50">
        <v>500000</v>
      </c>
      <c r="F102" s="71" t="s">
        <v>1</v>
      </c>
    </row>
    <row r="103" spans="1:8" x14ac:dyDescent="0.25">
      <c r="A103" s="5">
        <v>1</v>
      </c>
      <c r="B103" s="5">
        <v>3</v>
      </c>
      <c r="C103" s="53" t="s">
        <v>89</v>
      </c>
      <c r="D103" s="5" t="s">
        <v>28</v>
      </c>
      <c r="E103" s="54">
        <f>SUM(E104:E107)</f>
        <v>12000000</v>
      </c>
      <c r="F103" s="5" t="s">
        <v>3</v>
      </c>
    </row>
    <row r="104" spans="1:8" hidden="1" x14ac:dyDescent="0.25">
      <c r="A104" s="46"/>
      <c r="B104" s="46"/>
      <c r="C104" s="46"/>
      <c r="D104" s="42" t="s">
        <v>146</v>
      </c>
      <c r="E104" s="50">
        <v>0</v>
      </c>
      <c r="F104" s="42" t="s">
        <v>6</v>
      </c>
    </row>
    <row r="105" spans="1:8" x14ac:dyDescent="0.25">
      <c r="A105" s="46"/>
      <c r="B105" s="46"/>
      <c r="C105" s="46"/>
      <c r="D105" s="42" t="s">
        <v>128</v>
      </c>
      <c r="E105" s="50">
        <v>0</v>
      </c>
      <c r="F105" s="73"/>
    </row>
    <row r="106" spans="1:8" x14ac:dyDescent="0.25">
      <c r="A106" s="46"/>
      <c r="B106" s="46"/>
      <c r="C106" s="46"/>
      <c r="D106" s="42" t="s">
        <v>145</v>
      </c>
      <c r="E106" s="50">
        <v>0</v>
      </c>
      <c r="F106" s="48" t="s">
        <v>6</v>
      </c>
    </row>
    <row r="107" spans="1:8" x14ac:dyDescent="0.25">
      <c r="A107" s="46"/>
      <c r="B107" s="46"/>
      <c r="C107" s="46"/>
      <c r="D107" s="42" t="s">
        <v>147</v>
      </c>
      <c r="E107" s="50">
        <v>12000000</v>
      </c>
      <c r="F107" s="48" t="s">
        <v>3</v>
      </c>
      <c r="G107" s="186"/>
    </row>
    <row r="108" spans="1:8" x14ac:dyDescent="0.25">
      <c r="A108" s="3">
        <v>1</v>
      </c>
      <c r="B108" s="3">
        <v>3</v>
      </c>
      <c r="C108" s="34" t="s">
        <v>98</v>
      </c>
      <c r="D108" s="2" t="s">
        <v>29</v>
      </c>
      <c r="E108" s="35">
        <f>SUM(E109:E110)</f>
        <v>2700000</v>
      </c>
      <c r="F108" s="3" t="s">
        <v>434</v>
      </c>
    </row>
    <row r="109" spans="1:8" x14ac:dyDescent="0.25">
      <c r="A109" s="46"/>
      <c r="B109" s="46"/>
      <c r="C109" s="46"/>
      <c r="D109" s="42" t="s">
        <v>144</v>
      </c>
      <c r="E109" s="50">
        <v>1200000</v>
      </c>
      <c r="F109" s="48" t="s">
        <v>2</v>
      </c>
    </row>
    <row r="110" spans="1:8" x14ac:dyDescent="0.25">
      <c r="A110" s="46"/>
      <c r="B110" s="46"/>
      <c r="C110" s="46"/>
      <c r="D110" s="42" t="s">
        <v>144</v>
      </c>
      <c r="E110" s="50">
        <v>1500000</v>
      </c>
      <c r="F110" s="48" t="s">
        <v>426</v>
      </c>
    </row>
    <row r="111" spans="1:8" x14ac:dyDescent="0.25">
      <c r="A111" s="3">
        <v>1</v>
      </c>
      <c r="B111" s="3">
        <v>3</v>
      </c>
      <c r="C111" s="34" t="s">
        <v>122</v>
      </c>
      <c r="D111" s="2" t="s">
        <v>30</v>
      </c>
      <c r="E111" s="35">
        <f>SUM(E112:E113)</f>
        <v>4000000</v>
      </c>
      <c r="F111" s="3" t="s">
        <v>1</v>
      </c>
    </row>
    <row r="112" spans="1:8" x14ac:dyDescent="0.25">
      <c r="A112" s="46"/>
      <c r="B112" s="46"/>
      <c r="C112" s="46"/>
      <c r="D112" s="42" t="s">
        <v>148</v>
      </c>
      <c r="E112" s="50">
        <v>4000000</v>
      </c>
      <c r="F112" s="74"/>
    </row>
    <row r="113" spans="1:6" hidden="1" x14ac:dyDescent="0.25">
      <c r="A113" s="46"/>
      <c r="B113" s="46"/>
      <c r="C113" s="46"/>
      <c r="D113" s="42"/>
      <c r="E113" s="50"/>
      <c r="F113" s="74"/>
    </row>
    <row r="114" spans="1:6" ht="15" hidden="1" customHeight="1" x14ac:dyDescent="0.25">
      <c r="A114" s="46"/>
      <c r="B114" s="46"/>
      <c r="C114" s="46"/>
      <c r="D114" s="42" t="s">
        <v>145</v>
      </c>
      <c r="E114" s="50">
        <v>0</v>
      </c>
      <c r="F114" s="42"/>
    </row>
    <row r="115" spans="1:6" ht="15" hidden="1" customHeight="1" x14ac:dyDescent="0.25">
      <c r="A115" s="46"/>
      <c r="B115" s="46"/>
      <c r="C115" s="46"/>
      <c r="D115" s="42" t="s">
        <v>128</v>
      </c>
      <c r="E115" s="50">
        <v>0</v>
      </c>
      <c r="F115" s="42"/>
    </row>
    <row r="116" spans="1:6" ht="15" hidden="1" customHeight="1" x14ac:dyDescent="0.25">
      <c r="A116" s="46"/>
      <c r="B116" s="46"/>
      <c r="C116" s="46"/>
      <c r="D116" s="42" t="s">
        <v>129</v>
      </c>
      <c r="E116" s="50">
        <v>0</v>
      </c>
      <c r="F116" s="63"/>
    </row>
    <row r="117" spans="1:6" ht="15" hidden="1" customHeight="1" x14ac:dyDescent="0.25">
      <c r="A117" s="46"/>
      <c r="B117" s="46"/>
      <c r="C117" s="46"/>
      <c r="D117" s="46" t="s">
        <v>150</v>
      </c>
      <c r="E117" s="75">
        <v>0</v>
      </c>
      <c r="F117" s="5"/>
    </row>
    <row r="118" spans="1:6" ht="30" x14ac:dyDescent="0.25">
      <c r="A118" s="68">
        <v>1</v>
      </c>
      <c r="B118" s="68">
        <v>4</v>
      </c>
      <c r="C118" s="68"/>
      <c r="D118" s="9" t="s">
        <v>31</v>
      </c>
      <c r="E118" s="33">
        <f>E119+E122+E125+E132+E138+E141</f>
        <v>47200000</v>
      </c>
      <c r="F118" s="68"/>
    </row>
    <row r="119" spans="1:6" ht="30" x14ac:dyDescent="0.25">
      <c r="A119" s="3">
        <v>1</v>
      </c>
      <c r="B119" s="3">
        <v>4</v>
      </c>
      <c r="C119" s="34" t="s">
        <v>85</v>
      </c>
      <c r="D119" s="2" t="s">
        <v>32</v>
      </c>
      <c r="E119" s="35">
        <f>SUM(E120:E121)</f>
        <v>3500000</v>
      </c>
      <c r="F119" s="3" t="s">
        <v>424</v>
      </c>
    </row>
    <row r="120" spans="1:6" x14ac:dyDescent="0.25">
      <c r="A120" s="46"/>
      <c r="B120" s="46"/>
      <c r="C120" s="46"/>
      <c r="D120" s="48" t="s">
        <v>128</v>
      </c>
      <c r="E120" s="49">
        <v>3500000</v>
      </c>
      <c r="F120" s="48" t="s">
        <v>424</v>
      </c>
    </row>
    <row r="121" spans="1:6" hidden="1" x14ac:dyDescent="0.25">
      <c r="A121" s="46"/>
      <c r="B121" s="46"/>
      <c r="C121" s="46"/>
      <c r="D121" s="48" t="s">
        <v>151</v>
      </c>
      <c r="E121" s="49">
        <v>0</v>
      </c>
      <c r="F121" s="48" t="s">
        <v>1</v>
      </c>
    </row>
    <row r="122" spans="1:6" x14ac:dyDescent="0.25">
      <c r="A122" s="5">
        <v>1</v>
      </c>
      <c r="B122" s="5">
        <v>4</v>
      </c>
      <c r="C122" s="53" t="s">
        <v>89</v>
      </c>
      <c r="D122" s="5" t="s">
        <v>33</v>
      </c>
      <c r="E122" s="54">
        <f>SUM(E123:E124)</f>
        <v>3000000</v>
      </c>
      <c r="F122" s="5" t="s">
        <v>1</v>
      </c>
    </row>
    <row r="123" spans="1:6" x14ac:dyDescent="0.25">
      <c r="A123" s="5"/>
      <c r="B123" s="5"/>
      <c r="C123" s="53"/>
      <c r="D123" s="48" t="s">
        <v>128</v>
      </c>
      <c r="E123" s="49">
        <v>3000000</v>
      </c>
      <c r="F123" s="48" t="s">
        <v>1</v>
      </c>
    </row>
    <row r="124" spans="1:6" hidden="1" x14ac:dyDescent="0.25">
      <c r="A124" s="5"/>
      <c r="B124" s="5"/>
      <c r="C124" s="53"/>
      <c r="D124" s="48" t="s">
        <v>145</v>
      </c>
      <c r="E124" s="49">
        <v>0</v>
      </c>
      <c r="F124" s="48" t="s">
        <v>1</v>
      </c>
    </row>
    <row r="125" spans="1:6" ht="35.25" customHeight="1" x14ac:dyDescent="0.25">
      <c r="A125" s="3">
        <v>1</v>
      </c>
      <c r="B125" s="3">
        <v>4</v>
      </c>
      <c r="C125" s="34" t="s">
        <v>98</v>
      </c>
      <c r="D125" s="2" t="s">
        <v>34</v>
      </c>
      <c r="E125" s="35">
        <f>SUM(E126:E131)</f>
        <v>8500000</v>
      </c>
      <c r="F125" s="2" t="s">
        <v>1</v>
      </c>
    </row>
    <row r="126" spans="1:6" hidden="1" x14ac:dyDescent="0.25">
      <c r="A126" s="46"/>
      <c r="B126" s="46"/>
      <c r="C126" s="46"/>
      <c r="D126" s="42" t="s">
        <v>152</v>
      </c>
      <c r="E126" s="50">
        <v>0</v>
      </c>
      <c r="F126" s="42" t="s">
        <v>6</v>
      </c>
    </row>
    <row r="127" spans="1:6" x14ac:dyDescent="0.25">
      <c r="A127" s="46"/>
      <c r="B127" s="46"/>
      <c r="C127" s="46"/>
      <c r="D127" s="42" t="s">
        <v>128</v>
      </c>
      <c r="E127" s="50">
        <v>1000000</v>
      </c>
      <c r="F127" s="42" t="s">
        <v>1</v>
      </c>
    </row>
    <row r="128" spans="1:6" x14ac:dyDescent="0.25">
      <c r="A128" s="46"/>
      <c r="B128" s="46"/>
      <c r="C128" s="46"/>
      <c r="D128" s="42" t="s">
        <v>153</v>
      </c>
      <c r="E128" s="49">
        <v>6000000</v>
      </c>
      <c r="F128" s="42" t="s">
        <v>1</v>
      </c>
    </row>
    <row r="129" spans="1:8" x14ac:dyDescent="0.25">
      <c r="A129" s="46"/>
      <c r="B129" s="46"/>
      <c r="C129" s="46"/>
      <c r="D129" s="42" t="s">
        <v>154</v>
      </c>
      <c r="E129" s="49">
        <v>1500000</v>
      </c>
      <c r="F129" s="42" t="s">
        <v>426</v>
      </c>
    </row>
    <row r="130" spans="1:8" hidden="1" x14ac:dyDescent="0.25">
      <c r="A130" s="46"/>
      <c r="B130" s="46"/>
      <c r="C130" s="46"/>
      <c r="D130" s="42" t="s">
        <v>155</v>
      </c>
      <c r="E130" s="49">
        <v>0</v>
      </c>
      <c r="F130" s="42" t="s">
        <v>1</v>
      </c>
    </row>
    <row r="131" spans="1:8" hidden="1" x14ac:dyDescent="0.25">
      <c r="A131" s="46"/>
      <c r="B131" s="46"/>
      <c r="C131" s="46"/>
      <c r="D131" s="42" t="s">
        <v>129</v>
      </c>
      <c r="E131" s="49">
        <v>0</v>
      </c>
      <c r="F131" s="42" t="s">
        <v>9</v>
      </c>
    </row>
    <row r="132" spans="1:8" x14ac:dyDescent="0.25">
      <c r="A132" s="5">
        <v>1</v>
      </c>
      <c r="B132" s="5">
        <v>4</v>
      </c>
      <c r="C132" s="53" t="s">
        <v>109</v>
      </c>
      <c r="D132" s="5" t="s">
        <v>35</v>
      </c>
      <c r="E132" s="54">
        <f>SUM(E133:E137)</f>
        <v>22400000</v>
      </c>
      <c r="F132" s="5" t="s">
        <v>156</v>
      </c>
    </row>
    <row r="133" spans="1:8" x14ac:dyDescent="0.25">
      <c r="A133" s="46"/>
      <c r="B133" s="46"/>
      <c r="C133" s="46"/>
      <c r="D133" s="42" t="s">
        <v>157</v>
      </c>
      <c r="E133" s="50">
        <v>20400000</v>
      </c>
      <c r="F133" s="42" t="s">
        <v>0</v>
      </c>
    </row>
    <row r="134" spans="1:8" hidden="1" x14ac:dyDescent="0.25">
      <c r="A134" s="46"/>
      <c r="B134" s="46"/>
      <c r="C134" s="46"/>
      <c r="D134" s="52" t="s">
        <v>158</v>
      </c>
      <c r="E134" s="50">
        <v>0</v>
      </c>
      <c r="F134" s="42" t="s">
        <v>6</v>
      </c>
    </row>
    <row r="135" spans="1:8" hidden="1" x14ac:dyDescent="0.25">
      <c r="A135" s="46"/>
      <c r="B135" s="46"/>
      <c r="C135" s="46"/>
      <c r="D135" s="42" t="s">
        <v>158</v>
      </c>
      <c r="E135" s="50">
        <v>0</v>
      </c>
      <c r="F135" s="42" t="s">
        <v>1</v>
      </c>
    </row>
    <row r="136" spans="1:8" x14ac:dyDescent="0.25">
      <c r="A136" s="46"/>
      <c r="B136" s="46"/>
      <c r="C136" s="46"/>
      <c r="D136" s="42" t="s">
        <v>128</v>
      </c>
      <c r="E136" s="50">
        <v>2000000</v>
      </c>
      <c r="F136" s="42" t="s">
        <v>2</v>
      </c>
    </row>
    <row r="137" spans="1:8" hidden="1" x14ac:dyDescent="0.25">
      <c r="A137" s="46"/>
      <c r="B137" s="46"/>
      <c r="C137" s="46"/>
      <c r="D137" s="42" t="s">
        <v>149</v>
      </c>
      <c r="E137" s="50">
        <v>0</v>
      </c>
      <c r="F137" s="42" t="s">
        <v>1</v>
      </c>
    </row>
    <row r="138" spans="1:8" ht="30" x14ac:dyDescent="0.25">
      <c r="A138" s="3">
        <v>1</v>
      </c>
      <c r="B138" s="3">
        <v>4</v>
      </c>
      <c r="C138" s="34" t="s">
        <v>159</v>
      </c>
      <c r="D138" s="2" t="s">
        <v>36</v>
      </c>
      <c r="E138" s="35">
        <f>SUM(E139:E140)</f>
        <v>2000000</v>
      </c>
      <c r="F138" s="3" t="s">
        <v>1</v>
      </c>
    </row>
    <row r="139" spans="1:8" x14ac:dyDescent="0.25">
      <c r="A139" s="46"/>
      <c r="B139" s="46"/>
      <c r="C139" s="46"/>
      <c r="D139" s="42" t="s">
        <v>128</v>
      </c>
      <c r="E139" s="50">
        <v>1000000</v>
      </c>
      <c r="F139" s="76"/>
    </row>
    <row r="140" spans="1:8" x14ac:dyDescent="0.25">
      <c r="A140" s="46"/>
      <c r="B140" s="46"/>
      <c r="C140" s="46"/>
      <c r="D140" s="42" t="s">
        <v>152</v>
      </c>
      <c r="E140" s="50">
        <v>1000000</v>
      </c>
      <c r="F140" s="76"/>
    </row>
    <row r="141" spans="1:8" x14ac:dyDescent="0.25">
      <c r="A141" s="5">
        <v>1</v>
      </c>
      <c r="B141" s="5">
        <v>4</v>
      </c>
      <c r="C141" s="53" t="s">
        <v>160</v>
      </c>
      <c r="D141" s="5" t="s">
        <v>37</v>
      </c>
      <c r="E141" s="54">
        <f>SUM(E142:E144)</f>
        <v>7800000</v>
      </c>
      <c r="F141" s="5" t="s">
        <v>0</v>
      </c>
    </row>
    <row r="142" spans="1:8" x14ac:dyDescent="0.25">
      <c r="A142" s="46"/>
      <c r="B142" s="46"/>
      <c r="C142" s="46"/>
      <c r="D142" s="46" t="s">
        <v>161</v>
      </c>
      <c r="E142" s="50">
        <v>7800000</v>
      </c>
      <c r="F142" s="46" t="s">
        <v>0</v>
      </c>
      <c r="H142" s="173">
        <f>E142/12</f>
        <v>650000</v>
      </c>
    </row>
    <row r="143" spans="1:8" hidden="1" x14ac:dyDescent="0.25">
      <c r="A143" s="46"/>
      <c r="B143" s="46"/>
      <c r="C143" s="46"/>
      <c r="D143" s="77" t="s">
        <v>162</v>
      </c>
      <c r="E143" s="49">
        <v>0</v>
      </c>
      <c r="F143" s="77"/>
    </row>
    <row r="144" spans="1:8" hidden="1" x14ac:dyDescent="0.25">
      <c r="A144" s="46"/>
      <c r="B144" s="46"/>
      <c r="C144" s="46"/>
      <c r="D144" s="46" t="s">
        <v>129</v>
      </c>
      <c r="E144" s="75">
        <v>0</v>
      </c>
      <c r="F144" s="46" t="s">
        <v>6</v>
      </c>
    </row>
    <row r="145" spans="1:6" ht="37.5" hidden="1" customHeight="1" x14ac:dyDescent="0.25">
      <c r="A145" s="3">
        <v>1</v>
      </c>
      <c r="B145" s="3">
        <v>4</v>
      </c>
      <c r="C145" s="34" t="s">
        <v>163</v>
      </c>
      <c r="D145" s="78" t="s">
        <v>164</v>
      </c>
      <c r="E145" s="35">
        <f>E146</f>
        <v>0</v>
      </c>
      <c r="F145" s="3"/>
    </row>
    <row r="146" spans="1:6" hidden="1" x14ac:dyDescent="0.25">
      <c r="A146" s="46"/>
      <c r="B146" s="46"/>
      <c r="C146" s="46"/>
      <c r="D146" s="46" t="s">
        <v>165</v>
      </c>
      <c r="E146" s="75"/>
      <c r="F146" s="46"/>
    </row>
    <row r="147" spans="1:6" hidden="1" x14ac:dyDescent="0.25">
      <c r="A147" s="46"/>
      <c r="B147" s="46"/>
      <c r="C147" s="46"/>
      <c r="D147" s="46"/>
      <c r="E147" s="75"/>
      <c r="F147" s="46"/>
    </row>
    <row r="148" spans="1:6" hidden="1" x14ac:dyDescent="0.25">
      <c r="A148" s="8">
        <v>1</v>
      </c>
      <c r="B148" s="8">
        <v>5</v>
      </c>
      <c r="C148" s="8"/>
      <c r="D148" s="10" t="s">
        <v>38</v>
      </c>
      <c r="E148" s="57">
        <f>E149+E152+E154</f>
        <v>0</v>
      </c>
      <c r="F148" s="8"/>
    </row>
    <row r="149" spans="1:6" ht="29.25" hidden="1" customHeight="1" x14ac:dyDescent="0.25">
      <c r="A149" s="3">
        <v>1</v>
      </c>
      <c r="B149" s="3">
        <v>5</v>
      </c>
      <c r="C149" s="34" t="s">
        <v>98</v>
      </c>
      <c r="D149" s="2" t="s">
        <v>39</v>
      </c>
      <c r="E149" s="35">
        <f>SUM(E150:E151)</f>
        <v>0</v>
      </c>
      <c r="F149" s="3" t="s">
        <v>1</v>
      </c>
    </row>
    <row r="150" spans="1:6" hidden="1" x14ac:dyDescent="0.25">
      <c r="A150" s="46"/>
      <c r="B150" s="46"/>
      <c r="C150" s="46"/>
      <c r="D150" s="42" t="s">
        <v>144</v>
      </c>
      <c r="E150" s="50">
        <v>0</v>
      </c>
      <c r="F150" s="42"/>
    </row>
    <row r="151" spans="1:6" hidden="1" x14ac:dyDescent="0.25">
      <c r="A151" s="46"/>
      <c r="B151" s="46"/>
      <c r="C151" s="46"/>
      <c r="D151" s="42" t="s">
        <v>166</v>
      </c>
      <c r="E151" s="50">
        <v>0</v>
      </c>
      <c r="F151" s="42"/>
    </row>
    <row r="152" spans="1:6" hidden="1" x14ac:dyDescent="0.25">
      <c r="A152" s="5">
        <v>1</v>
      </c>
      <c r="B152" s="5">
        <v>5</v>
      </c>
      <c r="C152" s="53" t="s">
        <v>125</v>
      </c>
      <c r="D152" s="79" t="s">
        <v>40</v>
      </c>
      <c r="E152" s="64">
        <f>E153</f>
        <v>0</v>
      </c>
      <c r="F152" s="63" t="s">
        <v>1</v>
      </c>
    </row>
    <row r="153" spans="1:6" hidden="1" x14ac:dyDescent="0.25">
      <c r="A153" s="5"/>
      <c r="B153" s="5"/>
      <c r="C153" s="53"/>
      <c r="D153" s="80" t="s">
        <v>167</v>
      </c>
      <c r="E153" s="50">
        <v>0</v>
      </c>
      <c r="F153" s="42"/>
    </row>
    <row r="154" spans="1:6" hidden="1" x14ac:dyDescent="0.25">
      <c r="A154" s="3">
        <v>1</v>
      </c>
      <c r="B154" s="81">
        <v>5</v>
      </c>
      <c r="C154" s="82" t="s">
        <v>159</v>
      </c>
      <c r="D154" s="83" t="s">
        <v>168</v>
      </c>
      <c r="E154" s="84">
        <f>E155</f>
        <v>0</v>
      </c>
      <c r="F154" s="81" t="s">
        <v>169</v>
      </c>
    </row>
    <row r="155" spans="1:6" hidden="1" x14ac:dyDescent="0.25">
      <c r="A155" s="46"/>
      <c r="B155" s="85"/>
      <c r="C155" s="85"/>
      <c r="D155" s="86" t="s">
        <v>170</v>
      </c>
      <c r="E155" s="87">
        <v>0</v>
      </c>
      <c r="F155" s="85"/>
    </row>
    <row r="156" spans="1:6" x14ac:dyDescent="0.25">
      <c r="A156" s="11">
        <v>2</v>
      </c>
      <c r="B156" s="11"/>
      <c r="C156" s="11"/>
      <c r="D156" s="11" t="s">
        <v>41</v>
      </c>
      <c r="E156" s="88">
        <f>E157+E195+E250+E273+E305+E312+E326+E327</f>
        <v>932222000</v>
      </c>
      <c r="F156" s="11"/>
    </row>
    <row r="157" spans="1:6" x14ac:dyDescent="0.25">
      <c r="A157" s="8">
        <v>2</v>
      </c>
      <c r="B157" s="8">
        <v>1</v>
      </c>
      <c r="C157" s="8"/>
      <c r="D157" s="10" t="s">
        <v>42</v>
      </c>
      <c r="E157" s="57">
        <f>E158+E166+E168+E170+E175+E178+E181+E188+E193</f>
        <v>132622000</v>
      </c>
      <c r="F157" s="8"/>
    </row>
    <row r="158" spans="1:6" ht="36" customHeight="1" x14ac:dyDescent="0.25">
      <c r="A158" s="3">
        <v>2</v>
      </c>
      <c r="B158" s="3">
        <v>1</v>
      </c>
      <c r="C158" s="34" t="s">
        <v>85</v>
      </c>
      <c r="D158" s="2" t="s">
        <v>43</v>
      </c>
      <c r="E158" s="35">
        <f>SUM(E159:E162)</f>
        <v>32400000</v>
      </c>
      <c r="F158" s="2" t="s">
        <v>3</v>
      </c>
    </row>
    <row r="159" spans="1:6" x14ac:dyDescent="0.25">
      <c r="A159" s="46"/>
      <c r="B159" s="46"/>
      <c r="C159" s="46"/>
      <c r="D159" s="42" t="s">
        <v>171</v>
      </c>
      <c r="E159" s="50">
        <v>18000000</v>
      </c>
      <c r="F159" s="42" t="s">
        <v>3</v>
      </c>
    </row>
    <row r="160" spans="1:6" x14ac:dyDescent="0.25">
      <c r="A160" s="46"/>
      <c r="B160" s="46"/>
      <c r="C160" s="46"/>
      <c r="D160" s="42" t="s">
        <v>435</v>
      </c>
      <c r="E160" s="50">
        <v>12000000</v>
      </c>
      <c r="F160" s="42" t="s">
        <v>3</v>
      </c>
    </row>
    <row r="161" spans="1:7" x14ac:dyDescent="0.25">
      <c r="A161" s="46"/>
      <c r="B161" s="46"/>
      <c r="C161" s="46"/>
      <c r="D161" s="42" t="s">
        <v>173</v>
      </c>
      <c r="E161" s="50">
        <v>1200000</v>
      </c>
      <c r="F161" s="42" t="s">
        <v>3</v>
      </c>
    </row>
    <row r="162" spans="1:7" x14ac:dyDescent="0.25">
      <c r="A162" s="46"/>
      <c r="B162" s="46"/>
      <c r="C162" s="46"/>
      <c r="D162" s="42" t="s">
        <v>174</v>
      </c>
      <c r="E162" s="50">
        <v>1200000</v>
      </c>
      <c r="F162" s="42" t="s">
        <v>3</v>
      </c>
    </row>
    <row r="163" spans="1:7" hidden="1" x14ac:dyDescent="0.25">
      <c r="A163" s="5">
        <v>2</v>
      </c>
      <c r="B163" s="5">
        <v>1</v>
      </c>
      <c r="C163" s="53" t="s">
        <v>89</v>
      </c>
      <c r="D163" s="5" t="s">
        <v>175</v>
      </c>
      <c r="E163" s="54"/>
      <c r="F163" s="5"/>
    </row>
    <row r="164" spans="1:7" hidden="1" x14ac:dyDescent="0.25">
      <c r="A164" s="5"/>
      <c r="B164" s="5"/>
      <c r="C164" s="53"/>
      <c r="D164" s="5"/>
      <c r="E164" s="54"/>
      <c r="F164" s="5"/>
    </row>
    <row r="165" spans="1:7" hidden="1" x14ac:dyDescent="0.25">
      <c r="A165" s="5"/>
      <c r="B165" s="5"/>
      <c r="C165" s="53"/>
      <c r="D165" s="5"/>
      <c r="E165" s="54"/>
      <c r="F165" s="5"/>
    </row>
    <row r="166" spans="1:7" hidden="1" x14ac:dyDescent="0.25">
      <c r="A166" s="89">
        <v>2</v>
      </c>
      <c r="B166" s="89">
        <v>1</v>
      </c>
      <c r="C166" s="90" t="s">
        <v>98</v>
      </c>
      <c r="D166" s="89" t="s">
        <v>176</v>
      </c>
      <c r="E166" s="91">
        <f>E167</f>
        <v>0</v>
      </c>
      <c r="F166" s="5" t="s">
        <v>3</v>
      </c>
    </row>
    <row r="167" spans="1:7" hidden="1" x14ac:dyDescent="0.25">
      <c r="A167" s="89"/>
      <c r="B167" s="89"/>
      <c r="C167" s="90"/>
      <c r="D167" s="48" t="s">
        <v>177</v>
      </c>
      <c r="E167" s="49">
        <v>0</v>
      </c>
      <c r="F167" s="5"/>
    </row>
    <row r="168" spans="1:7" ht="29.25" customHeight="1" x14ac:dyDescent="0.25">
      <c r="A168" s="3">
        <v>2</v>
      </c>
      <c r="B168" s="3">
        <v>1</v>
      </c>
      <c r="C168" s="34" t="s">
        <v>109</v>
      </c>
      <c r="D168" s="2" t="s">
        <v>44</v>
      </c>
      <c r="E168" s="35">
        <f>E169</f>
        <v>2000000</v>
      </c>
      <c r="F168" s="3" t="s">
        <v>1</v>
      </c>
    </row>
    <row r="169" spans="1:7" ht="18.75" customHeight="1" x14ac:dyDescent="0.25">
      <c r="A169" s="5"/>
      <c r="B169" s="5"/>
      <c r="C169" s="53"/>
      <c r="D169" s="71" t="s">
        <v>178</v>
      </c>
      <c r="E169" s="50">
        <v>2000000</v>
      </c>
      <c r="F169" s="92"/>
    </row>
    <row r="170" spans="1:7" ht="30" x14ac:dyDescent="0.25">
      <c r="A170" s="3">
        <v>2</v>
      </c>
      <c r="B170" s="3">
        <v>1</v>
      </c>
      <c r="C170" s="34" t="s">
        <v>122</v>
      </c>
      <c r="D170" s="2" t="s">
        <v>45</v>
      </c>
      <c r="E170" s="35">
        <f>E171+E172</f>
        <v>2000000</v>
      </c>
      <c r="F170" s="3" t="s">
        <v>6</v>
      </c>
    </row>
    <row r="171" spans="1:7" x14ac:dyDescent="0.25">
      <c r="A171" s="3"/>
      <c r="B171" s="3"/>
      <c r="C171" s="34"/>
      <c r="D171" s="43" t="s">
        <v>179</v>
      </c>
      <c r="E171" s="37">
        <v>2000000</v>
      </c>
      <c r="F171" s="36" t="s">
        <v>6</v>
      </c>
      <c r="G171" s="185" t="s">
        <v>9</v>
      </c>
    </row>
    <row r="172" spans="1:7" x14ac:dyDescent="0.25">
      <c r="A172" s="3"/>
      <c r="B172" s="3"/>
      <c r="C172" s="34"/>
      <c r="D172" s="43" t="s">
        <v>179</v>
      </c>
      <c r="E172" s="37">
        <v>0</v>
      </c>
      <c r="F172" s="36"/>
      <c r="G172" s="185" t="s">
        <v>433</v>
      </c>
    </row>
    <row r="173" spans="1:7" hidden="1" x14ac:dyDescent="0.25">
      <c r="A173" s="3"/>
      <c r="B173" s="3"/>
      <c r="C173" s="34"/>
      <c r="D173" s="43" t="s">
        <v>180</v>
      </c>
      <c r="E173" s="37">
        <v>0</v>
      </c>
      <c r="F173" s="36"/>
    </row>
    <row r="174" spans="1:7" hidden="1" x14ac:dyDescent="0.25">
      <c r="A174" s="3"/>
      <c r="B174" s="3"/>
      <c r="C174" s="34"/>
      <c r="D174" s="43" t="s">
        <v>181</v>
      </c>
      <c r="E174" s="37">
        <v>0</v>
      </c>
      <c r="F174" s="36"/>
    </row>
    <row r="175" spans="1:7" s="185" customFormat="1" ht="45" x14ac:dyDescent="0.25">
      <c r="A175" s="3">
        <v>2</v>
      </c>
      <c r="B175" s="3">
        <v>1</v>
      </c>
      <c r="C175" s="34" t="s">
        <v>125</v>
      </c>
      <c r="D175" s="2" t="s">
        <v>182</v>
      </c>
      <c r="E175" s="35">
        <f>SUM(E176:E177)</f>
        <v>43000000</v>
      </c>
      <c r="F175" s="3" t="s">
        <v>3</v>
      </c>
      <c r="G175" t="s">
        <v>3</v>
      </c>
    </row>
    <row r="176" spans="1:7" x14ac:dyDescent="0.25">
      <c r="A176" s="3"/>
      <c r="B176" s="3"/>
      <c r="C176" s="34"/>
      <c r="D176" s="43" t="s">
        <v>464</v>
      </c>
      <c r="E176" s="37">
        <v>23000000</v>
      </c>
      <c r="F176" s="36"/>
    </row>
    <row r="177" spans="1:8" x14ac:dyDescent="0.25">
      <c r="A177" s="3"/>
      <c r="B177" s="3"/>
      <c r="C177" s="34"/>
      <c r="D177" s="43" t="s">
        <v>463</v>
      </c>
      <c r="E177" s="37">
        <v>20000000</v>
      </c>
      <c r="F177" s="76"/>
    </row>
    <row r="178" spans="1:8" s="185" customFormat="1" ht="30" hidden="1" x14ac:dyDescent="0.25">
      <c r="A178" s="3">
        <v>2</v>
      </c>
      <c r="B178" s="3">
        <v>1</v>
      </c>
      <c r="C178" s="34" t="s">
        <v>159</v>
      </c>
      <c r="D178" s="2" t="s">
        <v>188</v>
      </c>
      <c r="E178" s="35">
        <f>SUM(E179:E180)</f>
        <v>0</v>
      </c>
      <c r="F178" s="3" t="s">
        <v>3</v>
      </c>
    </row>
    <row r="179" spans="1:8" hidden="1" x14ac:dyDescent="0.25">
      <c r="A179" s="3"/>
      <c r="B179" s="3"/>
      <c r="C179" s="34"/>
      <c r="D179" s="43" t="s">
        <v>189</v>
      </c>
      <c r="E179" s="37">
        <v>0</v>
      </c>
      <c r="F179" s="3"/>
    </row>
    <row r="180" spans="1:8" hidden="1" x14ac:dyDescent="0.25">
      <c r="A180" s="3"/>
      <c r="B180" s="3"/>
      <c r="C180" s="34"/>
      <c r="D180" s="43" t="s">
        <v>190</v>
      </c>
      <c r="E180" s="37">
        <v>0</v>
      </c>
      <c r="F180" s="3"/>
    </row>
    <row r="181" spans="1:8" x14ac:dyDescent="0.25">
      <c r="A181" s="5">
        <v>2</v>
      </c>
      <c r="B181" s="5">
        <v>1</v>
      </c>
      <c r="C181" s="53" t="s">
        <v>160</v>
      </c>
      <c r="D181" s="12" t="s">
        <v>46</v>
      </c>
      <c r="E181" s="54">
        <f>SUM(E182:E187)</f>
        <v>37322000</v>
      </c>
      <c r="F181" s="5" t="s">
        <v>458</v>
      </c>
      <c r="G181" t="s">
        <v>458</v>
      </c>
    </row>
    <row r="182" spans="1:8" x14ac:dyDescent="0.25">
      <c r="A182" s="5"/>
      <c r="B182" s="5"/>
      <c r="C182" s="53"/>
      <c r="D182" s="71" t="s">
        <v>191</v>
      </c>
      <c r="E182" s="50">
        <v>28800000</v>
      </c>
      <c r="F182" s="42" t="s">
        <v>3</v>
      </c>
      <c r="G182" t="s">
        <v>3</v>
      </c>
    </row>
    <row r="183" spans="1:8" hidden="1" x14ac:dyDescent="0.25">
      <c r="A183" s="5"/>
      <c r="B183" s="5"/>
      <c r="C183" s="53"/>
      <c r="D183" s="71" t="s">
        <v>192</v>
      </c>
      <c r="E183" s="50">
        <v>0</v>
      </c>
      <c r="F183" s="42"/>
    </row>
    <row r="184" spans="1:8" x14ac:dyDescent="0.25">
      <c r="A184" s="5"/>
      <c r="B184" s="5"/>
      <c r="C184" s="53"/>
      <c r="D184" s="71" t="s">
        <v>149</v>
      </c>
      <c r="E184" s="50">
        <v>2000000</v>
      </c>
      <c r="F184" s="42" t="s">
        <v>0</v>
      </c>
      <c r="G184" t="s">
        <v>0</v>
      </c>
    </row>
    <row r="185" spans="1:8" ht="12.75" customHeight="1" x14ac:dyDescent="0.25">
      <c r="A185" s="5"/>
      <c r="B185" s="5"/>
      <c r="C185" s="53"/>
      <c r="D185" s="71" t="s">
        <v>193</v>
      </c>
      <c r="E185" s="50">
        <v>522000</v>
      </c>
      <c r="F185" s="42" t="s">
        <v>3</v>
      </c>
      <c r="G185" t="s">
        <v>3</v>
      </c>
    </row>
    <row r="186" spans="1:8" ht="12.75" customHeight="1" x14ac:dyDescent="0.25">
      <c r="A186" s="5"/>
      <c r="B186" s="5"/>
      <c r="C186" s="53"/>
      <c r="D186" s="71" t="s">
        <v>194</v>
      </c>
      <c r="E186" s="50">
        <v>3000000</v>
      </c>
      <c r="F186" s="42" t="s">
        <v>3</v>
      </c>
      <c r="G186" t="s">
        <v>3</v>
      </c>
    </row>
    <row r="187" spans="1:8" x14ac:dyDescent="0.25">
      <c r="A187" s="5"/>
      <c r="B187" s="5"/>
      <c r="C187" s="53"/>
      <c r="D187" s="71" t="s">
        <v>195</v>
      </c>
      <c r="E187" s="50">
        <v>3000000</v>
      </c>
      <c r="F187" s="42" t="s">
        <v>3</v>
      </c>
      <c r="G187" t="s">
        <v>3</v>
      </c>
      <c r="H187" s="173">
        <f>E187/12</f>
        <v>250000</v>
      </c>
    </row>
    <row r="188" spans="1:8" x14ac:dyDescent="0.25">
      <c r="A188" s="5">
        <v>2</v>
      </c>
      <c r="B188" s="5">
        <v>1</v>
      </c>
      <c r="C188" s="53" t="s">
        <v>196</v>
      </c>
      <c r="D188" s="12" t="s">
        <v>197</v>
      </c>
      <c r="E188" s="54">
        <f>SUM(E189:E191)</f>
        <v>5900000</v>
      </c>
      <c r="F188" s="5" t="s">
        <v>3</v>
      </c>
      <c r="G188" t="s">
        <v>3</v>
      </c>
    </row>
    <row r="189" spans="1:8" x14ac:dyDescent="0.25">
      <c r="A189" s="5"/>
      <c r="B189" s="5"/>
      <c r="C189" s="53"/>
      <c r="D189" s="71" t="s">
        <v>417</v>
      </c>
      <c r="E189" s="50">
        <v>3000000</v>
      </c>
      <c r="F189" s="42"/>
    </row>
    <row r="190" spans="1:8" x14ac:dyDescent="0.25">
      <c r="A190" s="5"/>
      <c r="B190" s="5"/>
      <c r="C190" s="53"/>
      <c r="D190" s="71" t="s">
        <v>418</v>
      </c>
      <c r="E190" s="50">
        <v>2000000</v>
      </c>
      <c r="F190" s="42"/>
    </row>
    <row r="191" spans="1:8" x14ac:dyDescent="0.25">
      <c r="A191" s="5"/>
      <c r="B191" s="5"/>
      <c r="C191" s="53"/>
      <c r="D191" s="71" t="s">
        <v>419</v>
      </c>
      <c r="E191" s="50">
        <v>900000</v>
      </c>
      <c r="F191" s="42"/>
    </row>
    <row r="192" spans="1:8" hidden="1" x14ac:dyDescent="0.25">
      <c r="A192" s="5"/>
      <c r="B192" s="5"/>
      <c r="C192" s="53"/>
      <c r="D192" s="71" t="s">
        <v>198</v>
      </c>
      <c r="E192" s="50">
        <v>0</v>
      </c>
      <c r="F192" s="5"/>
    </row>
    <row r="193" spans="1:8" x14ac:dyDescent="0.25">
      <c r="A193" s="5">
        <v>2</v>
      </c>
      <c r="B193" s="5">
        <v>1</v>
      </c>
      <c r="C193" s="53" t="s">
        <v>199</v>
      </c>
      <c r="D193" s="12" t="s">
        <v>200</v>
      </c>
      <c r="E193" s="54">
        <f>E194</f>
        <v>10000000</v>
      </c>
      <c r="F193" s="5" t="s">
        <v>3</v>
      </c>
      <c r="G193" t="s">
        <v>3</v>
      </c>
    </row>
    <row r="194" spans="1:8" x14ac:dyDescent="0.25">
      <c r="A194" s="5"/>
      <c r="B194" s="5"/>
      <c r="C194" s="53"/>
      <c r="D194" s="71" t="s">
        <v>201</v>
      </c>
      <c r="E194" s="50">
        <v>10000000</v>
      </c>
      <c r="F194" s="42" t="s">
        <v>432</v>
      </c>
      <c r="G194" t="s">
        <v>432</v>
      </c>
    </row>
    <row r="195" spans="1:8" x14ac:dyDescent="0.25">
      <c r="A195" s="8">
        <v>2</v>
      </c>
      <c r="B195" s="8">
        <v>2</v>
      </c>
      <c r="C195" s="8"/>
      <c r="D195" s="6" t="s">
        <v>47</v>
      </c>
      <c r="E195" s="57">
        <f>E196+E200+E207+E210+E240+E242+E244</f>
        <v>229100000</v>
      </c>
      <c r="F195" s="8" t="s">
        <v>3</v>
      </c>
      <c r="G195" t="s">
        <v>3</v>
      </c>
    </row>
    <row r="196" spans="1:8" x14ac:dyDescent="0.25">
      <c r="A196" s="5">
        <v>2</v>
      </c>
      <c r="B196" s="5">
        <v>2</v>
      </c>
      <c r="C196" s="53" t="s">
        <v>85</v>
      </c>
      <c r="D196" s="12" t="s">
        <v>202</v>
      </c>
      <c r="E196" s="54">
        <f>SUM(E197:E199)</f>
        <v>18000000</v>
      </c>
      <c r="F196" s="5" t="s">
        <v>3</v>
      </c>
    </row>
    <row r="197" spans="1:8" hidden="1" x14ac:dyDescent="0.25">
      <c r="A197" s="46"/>
      <c r="B197" s="46"/>
      <c r="C197" s="46"/>
      <c r="D197" s="71" t="s">
        <v>203</v>
      </c>
      <c r="E197" s="50">
        <v>0</v>
      </c>
      <c r="F197" s="42"/>
    </row>
    <row r="198" spans="1:8" hidden="1" x14ac:dyDescent="0.25">
      <c r="A198" s="46"/>
      <c r="B198" s="46"/>
      <c r="C198" s="46"/>
      <c r="D198" s="71" t="s">
        <v>204</v>
      </c>
      <c r="E198" s="50">
        <v>0</v>
      </c>
      <c r="F198" s="42"/>
    </row>
    <row r="199" spans="1:8" x14ac:dyDescent="0.25">
      <c r="A199" s="46"/>
      <c r="B199" s="46"/>
      <c r="C199" s="46"/>
      <c r="D199" s="71" t="s">
        <v>205</v>
      </c>
      <c r="E199" s="50">
        <v>18000000</v>
      </c>
      <c r="F199" s="42"/>
      <c r="H199">
        <f>1500000*12</f>
        <v>18000000</v>
      </c>
    </row>
    <row r="200" spans="1:8" x14ac:dyDescent="0.25">
      <c r="A200" s="5">
        <v>2</v>
      </c>
      <c r="B200" s="5">
        <v>2</v>
      </c>
      <c r="C200" s="53" t="s">
        <v>89</v>
      </c>
      <c r="D200" s="12" t="s">
        <v>48</v>
      </c>
      <c r="E200" s="54">
        <f>SUM(E201:E206)</f>
        <v>147600000</v>
      </c>
      <c r="F200" s="5" t="s">
        <v>3</v>
      </c>
      <c r="G200" t="s">
        <v>3</v>
      </c>
    </row>
    <row r="201" spans="1:8" x14ac:dyDescent="0.25">
      <c r="A201" s="46"/>
      <c r="B201" s="46"/>
      <c r="C201" s="46"/>
      <c r="D201" s="71" t="s">
        <v>206</v>
      </c>
      <c r="E201" s="50">
        <v>40000000</v>
      </c>
      <c r="F201" s="42" t="s">
        <v>3</v>
      </c>
      <c r="G201" t="s">
        <v>3</v>
      </c>
    </row>
    <row r="202" spans="1:8" x14ac:dyDescent="0.25">
      <c r="A202" s="46"/>
      <c r="B202" s="46"/>
      <c r="C202" s="46"/>
      <c r="D202" s="71" t="s">
        <v>402</v>
      </c>
      <c r="E202" s="50">
        <v>36000000</v>
      </c>
      <c r="F202" s="42" t="s">
        <v>3</v>
      </c>
      <c r="G202" t="s">
        <v>3</v>
      </c>
      <c r="H202">
        <f>200000*15*12</f>
        <v>36000000</v>
      </c>
    </row>
    <row r="203" spans="1:8" hidden="1" x14ac:dyDescent="0.25">
      <c r="A203" s="97"/>
      <c r="B203" s="97"/>
      <c r="C203" s="97"/>
      <c r="D203" s="43" t="s">
        <v>207</v>
      </c>
      <c r="E203" s="37">
        <v>0</v>
      </c>
      <c r="F203" s="36" t="s">
        <v>3</v>
      </c>
    </row>
    <row r="204" spans="1:8" x14ac:dyDescent="0.25">
      <c r="A204" s="46"/>
      <c r="B204" s="46"/>
      <c r="C204" s="46"/>
      <c r="D204" s="98" t="s">
        <v>209</v>
      </c>
      <c r="E204" s="50">
        <v>2000000</v>
      </c>
      <c r="F204" s="42"/>
    </row>
    <row r="205" spans="1:8" x14ac:dyDescent="0.25">
      <c r="A205" s="46"/>
      <c r="B205" s="46"/>
      <c r="C205" s="46"/>
      <c r="D205" s="98" t="s">
        <v>210</v>
      </c>
      <c r="E205" s="50">
        <v>9600000</v>
      </c>
      <c r="F205" s="42" t="s">
        <v>3</v>
      </c>
      <c r="G205" t="s">
        <v>3</v>
      </c>
    </row>
    <row r="206" spans="1:8" ht="16.5" customHeight="1" x14ac:dyDescent="0.25">
      <c r="A206" s="46"/>
      <c r="B206" s="46"/>
      <c r="C206" s="46"/>
      <c r="D206" s="71" t="s">
        <v>211</v>
      </c>
      <c r="E206" s="50">
        <v>60000000</v>
      </c>
      <c r="F206" s="42" t="s">
        <v>3</v>
      </c>
      <c r="G206" t="s">
        <v>3</v>
      </c>
    </row>
    <row r="207" spans="1:8" x14ac:dyDescent="0.25">
      <c r="A207" s="5">
        <v>2</v>
      </c>
      <c r="B207" s="5">
        <v>2</v>
      </c>
      <c r="C207" s="53" t="s">
        <v>98</v>
      </c>
      <c r="D207" s="12" t="s">
        <v>49</v>
      </c>
      <c r="E207" s="54">
        <f>SUM(E208:E209)</f>
        <v>4000000</v>
      </c>
      <c r="F207" s="5" t="s">
        <v>3</v>
      </c>
      <c r="G207" t="s">
        <v>3</v>
      </c>
    </row>
    <row r="208" spans="1:8" x14ac:dyDescent="0.25">
      <c r="A208" s="5"/>
      <c r="B208" s="5"/>
      <c r="C208" s="53"/>
      <c r="D208" s="71" t="s">
        <v>212</v>
      </c>
      <c r="E208" s="50">
        <v>2000000</v>
      </c>
      <c r="F208" s="42"/>
    </row>
    <row r="209" spans="1:6" x14ac:dyDescent="0.25">
      <c r="A209" s="5"/>
      <c r="B209" s="5"/>
      <c r="C209" s="53"/>
      <c r="D209" s="71" t="s">
        <v>213</v>
      </c>
      <c r="E209" s="50">
        <v>2000000</v>
      </c>
      <c r="F209" s="42"/>
    </row>
    <row r="210" spans="1:6" hidden="1" x14ac:dyDescent="0.25">
      <c r="A210" s="5">
        <v>2</v>
      </c>
      <c r="B210" s="5">
        <v>2</v>
      </c>
      <c r="C210" s="53" t="s">
        <v>109</v>
      </c>
      <c r="D210" s="12" t="s">
        <v>50</v>
      </c>
      <c r="E210" s="54">
        <f>E211+E215+E219+E220+E221+E222+E223+E228+E231+E235+E236+E237</f>
        <v>0</v>
      </c>
      <c r="F210" s="5" t="s">
        <v>3</v>
      </c>
    </row>
    <row r="211" spans="1:6" ht="30" hidden="1" x14ac:dyDescent="0.25">
      <c r="A211" s="5"/>
      <c r="B211" s="3"/>
      <c r="C211" s="34"/>
      <c r="D211" s="99" t="s">
        <v>214</v>
      </c>
      <c r="E211" s="100"/>
      <c r="F211" s="76" t="s">
        <v>3</v>
      </c>
    </row>
    <row r="212" spans="1:6" hidden="1" x14ac:dyDescent="0.25">
      <c r="A212" s="5"/>
      <c r="B212" s="3"/>
      <c r="C212" s="34"/>
      <c r="D212" s="101" t="s">
        <v>215</v>
      </c>
      <c r="E212" s="37"/>
      <c r="F212" s="36" t="s">
        <v>3</v>
      </c>
    </row>
    <row r="213" spans="1:6" hidden="1" x14ac:dyDescent="0.25">
      <c r="A213" s="5"/>
      <c r="B213" s="3"/>
      <c r="C213" s="34"/>
      <c r="D213" s="101" t="s">
        <v>216</v>
      </c>
      <c r="E213" s="37"/>
      <c r="F213" s="36" t="s">
        <v>3</v>
      </c>
    </row>
    <row r="214" spans="1:6" hidden="1" x14ac:dyDescent="0.25">
      <c r="A214" s="5"/>
      <c r="B214" s="3"/>
      <c r="C214" s="34"/>
      <c r="D214" s="101" t="s">
        <v>217</v>
      </c>
      <c r="E214" s="37">
        <v>0</v>
      </c>
      <c r="F214" s="36" t="s">
        <v>3</v>
      </c>
    </row>
    <row r="215" spans="1:6" hidden="1" x14ac:dyDescent="0.25">
      <c r="A215" s="5"/>
      <c r="B215" s="3"/>
      <c r="C215" s="34"/>
      <c r="D215" s="102" t="s">
        <v>218</v>
      </c>
      <c r="E215" s="100"/>
      <c r="F215" s="76" t="s">
        <v>3</v>
      </c>
    </row>
    <row r="216" spans="1:6" hidden="1" x14ac:dyDescent="0.25">
      <c r="A216" s="5"/>
      <c r="B216" s="3"/>
      <c r="C216" s="34"/>
      <c r="D216" s="101" t="s">
        <v>219</v>
      </c>
      <c r="E216" s="37"/>
      <c r="F216" s="36" t="s">
        <v>3</v>
      </c>
    </row>
    <row r="217" spans="1:6" hidden="1" x14ac:dyDescent="0.25">
      <c r="A217" s="5"/>
      <c r="B217" s="3"/>
      <c r="C217" s="34"/>
      <c r="D217" s="101" t="s">
        <v>220</v>
      </c>
      <c r="E217" s="37"/>
      <c r="F217" s="36" t="s">
        <v>3</v>
      </c>
    </row>
    <row r="218" spans="1:6" hidden="1" x14ac:dyDescent="0.25">
      <c r="A218" s="5"/>
      <c r="B218" s="3"/>
      <c r="C218" s="34"/>
      <c r="D218" s="101" t="s">
        <v>221</v>
      </c>
      <c r="E218" s="37"/>
      <c r="F218" s="36" t="s">
        <v>3</v>
      </c>
    </row>
    <row r="219" spans="1:6" hidden="1" x14ac:dyDescent="0.25">
      <c r="A219" s="5"/>
      <c r="B219" s="3"/>
      <c r="C219" s="34"/>
      <c r="D219" s="102" t="s">
        <v>222</v>
      </c>
      <c r="E219" s="100"/>
      <c r="F219" s="76" t="s">
        <v>3</v>
      </c>
    </row>
    <row r="220" spans="1:6" hidden="1" x14ac:dyDescent="0.25">
      <c r="A220" s="5"/>
      <c r="B220" s="3"/>
      <c r="C220" s="34"/>
      <c r="D220" s="102" t="s">
        <v>223</v>
      </c>
      <c r="E220" s="100"/>
      <c r="F220" s="76" t="s">
        <v>3</v>
      </c>
    </row>
    <row r="221" spans="1:6" hidden="1" x14ac:dyDescent="0.25">
      <c r="A221" s="5"/>
      <c r="B221" s="3"/>
      <c r="C221" s="34"/>
      <c r="D221" s="102" t="s">
        <v>224</v>
      </c>
      <c r="E221" s="100"/>
      <c r="F221" s="76" t="s">
        <v>3</v>
      </c>
    </row>
    <row r="222" spans="1:6" hidden="1" x14ac:dyDescent="0.25">
      <c r="A222" s="5"/>
      <c r="B222" s="3"/>
      <c r="C222" s="34"/>
      <c r="D222" s="102" t="s">
        <v>225</v>
      </c>
      <c r="E222" s="100"/>
      <c r="F222" s="76" t="s">
        <v>3</v>
      </c>
    </row>
    <row r="223" spans="1:6" hidden="1" x14ac:dyDescent="0.25">
      <c r="A223" s="5"/>
      <c r="B223" s="3"/>
      <c r="C223" s="34"/>
      <c r="D223" s="102" t="s">
        <v>226</v>
      </c>
      <c r="E223" s="100"/>
      <c r="F223" s="76" t="s">
        <v>3</v>
      </c>
    </row>
    <row r="224" spans="1:6" hidden="1" x14ac:dyDescent="0.25">
      <c r="A224" s="5"/>
      <c r="B224" s="3"/>
      <c r="C224" s="34"/>
      <c r="D224" s="101" t="s">
        <v>227</v>
      </c>
      <c r="E224" s="37"/>
      <c r="F224" s="36" t="s">
        <v>3</v>
      </c>
    </row>
    <row r="225" spans="1:7" hidden="1" x14ac:dyDescent="0.25">
      <c r="A225" s="5"/>
      <c r="B225" s="3"/>
      <c r="C225" s="34"/>
      <c r="D225" s="101" t="s">
        <v>228</v>
      </c>
      <c r="E225" s="37"/>
      <c r="F225" s="36" t="s">
        <v>3</v>
      </c>
    </row>
    <row r="226" spans="1:7" hidden="1" x14ac:dyDescent="0.25">
      <c r="A226" s="5"/>
      <c r="B226" s="3"/>
      <c r="C226" s="34"/>
      <c r="D226" s="101" t="s">
        <v>229</v>
      </c>
      <c r="E226" s="37"/>
      <c r="F226" s="36" t="s">
        <v>3</v>
      </c>
    </row>
    <row r="227" spans="1:7" hidden="1" x14ac:dyDescent="0.25">
      <c r="A227" s="53"/>
      <c r="B227" s="3"/>
      <c r="C227" s="34"/>
      <c r="D227" s="101" t="s">
        <v>230</v>
      </c>
      <c r="E227" s="37"/>
      <c r="F227" s="36" t="s">
        <v>3</v>
      </c>
    </row>
    <row r="228" spans="1:7" ht="30" hidden="1" x14ac:dyDescent="0.25">
      <c r="A228" s="53"/>
      <c r="B228" s="3"/>
      <c r="C228" s="34"/>
      <c r="D228" s="102" t="s">
        <v>231</v>
      </c>
      <c r="E228" s="100"/>
      <c r="F228" s="76" t="s">
        <v>3</v>
      </c>
    </row>
    <row r="229" spans="1:7" hidden="1" x14ac:dyDescent="0.25">
      <c r="A229" s="53"/>
      <c r="B229" s="3"/>
      <c r="C229" s="34"/>
      <c r="D229" s="101" t="s">
        <v>232</v>
      </c>
      <c r="E229" s="37"/>
      <c r="F229" s="36" t="s">
        <v>3</v>
      </c>
    </row>
    <row r="230" spans="1:7" hidden="1" x14ac:dyDescent="0.25">
      <c r="A230" s="53"/>
      <c r="B230" s="3"/>
      <c r="C230" s="34"/>
      <c r="D230" s="101" t="s">
        <v>233</v>
      </c>
      <c r="E230" s="37"/>
      <c r="F230" s="36" t="s">
        <v>3</v>
      </c>
    </row>
    <row r="231" spans="1:7" hidden="1" x14ac:dyDescent="0.25">
      <c r="A231" s="5"/>
      <c r="B231" s="3"/>
      <c r="C231" s="34"/>
      <c r="D231" s="99" t="s">
        <v>234</v>
      </c>
      <c r="E231" s="100"/>
      <c r="F231" s="76" t="s">
        <v>3</v>
      </c>
    </row>
    <row r="232" spans="1:7" hidden="1" x14ac:dyDescent="0.25">
      <c r="A232" s="53"/>
      <c r="B232" s="3"/>
      <c r="C232" s="34"/>
      <c r="D232" s="101" t="s">
        <v>209</v>
      </c>
      <c r="E232" s="37"/>
      <c r="F232" s="36" t="s">
        <v>3</v>
      </c>
    </row>
    <row r="233" spans="1:7" hidden="1" x14ac:dyDescent="0.25">
      <c r="A233" s="53"/>
      <c r="B233" s="3"/>
      <c r="C233" s="34"/>
      <c r="D233" s="101" t="s">
        <v>235</v>
      </c>
      <c r="E233" s="37"/>
      <c r="F233" s="36" t="s">
        <v>3</v>
      </c>
    </row>
    <row r="234" spans="1:7" hidden="1" x14ac:dyDescent="0.25">
      <c r="A234" s="5"/>
      <c r="B234" s="3"/>
      <c r="C234" s="34"/>
      <c r="D234" s="101" t="s">
        <v>236</v>
      </c>
      <c r="E234" s="37"/>
      <c r="F234" s="36" t="s">
        <v>3</v>
      </c>
    </row>
    <row r="235" spans="1:7" ht="30" hidden="1" x14ac:dyDescent="0.25">
      <c r="A235" s="5"/>
      <c r="B235" s="3"/>
      <c r="C235" s="34"/>
      <c r="D235" s="102" t="s">
        <v>237</v>
      </c>
      <c r="E235" s="100"/>
      <c r="F235" s="76" t="s">
        <v>3</v>
      </c>
    </row>
    <row r="236" spans="1:7" ht="30" hidden="1" x14ac:dyDescent="0.25">
      <c r="A236" s="5"/>
      <c r="B236" s="3"/>
      <c r="C236" s="34"/>
      <c r="D236" s="102" t="s">
        <v>238</v>
      </c>
      <c r="E236" s="100"/>
      <c r="F236" s="76" t="s">
        <v>3</v>
      </c>
    </row>
    <row r="237" spans="1:7" hidden="1" x14ac:dyDescent="0.25">
      <c r="A237" s="5"/>
      <c r="B237" s="3"/>
      <c r="C237" s="34"/>
      <c r="D237" s="99" t="s">
        <v>239</v>
      </c>
      <c r="E237" s="100">
        <f>SUM(E238:E239)</f>
        <v>0</v>
      </c>
      <c r="F237" s="76" t="s">
        <v>3</v>
      </c>
    </row>
    <row r="238" spans="1:7" hidden="1" x14ac:dyDescent="0.25">
      <c r="A238" s="5"/>
      <c r="B238" s="5"/>
      <c r="C238" s="53"/>
      <c r="D238" s="71" t="s">
        <v>212</v>
      </c>
      <c r="E238" s="50">
        <v>0</v>
      </c>
      <c r="F238" s="42" t="s">
        <v>3</v>
      </c>
    </row>
    <row r="239" spans="1:7" hidden="1" x14ac:dyDescent="0.25">
      <c r="A239" s="5"/>
      <c r="B239" s="5"/>
      <c r="C239" s="53"/>
      <c r="D239" s="71" t="s">
        <v>210</v>
      </c>
      <c r="E239" s="50">
        <v>0</v>
      </c>
      <c r="F239" s="42" t="s">
        <v>3</v>
      </c>
    </row>
    <row r="240" spans="1:7" x14ac:dyDescent="0.25">
      <c r="A240" s="5">
        <v>2</v>
      </c>
      <c r="B240" s="5">
        <v>2</v>
      </c>
      <c r="C240" s="53" t="s">
        <v>125</v>
      </c>
      <c r="D240" s="12" t="s">
        <v>51</v>
      </c>
      <c r="E240" s="54">
        <f>E241</f>
        <v>18000000</v>
      </c>
      <c r="F240" s="5" t="s">
        <v>3</v>
      </c>
      <c r="G240" t="s">
        <v>3</v>
      </c>
    </row>
    <row r="241" spans="1:7" x14ac:dyDescent="0.25">
      <c r="A241" s="46"/>
      <c r="B241" s="46"/>
      <c r="C241" s="46"/>
      <c r="D241" s="71" t="s">
        <v>240</v>
      </c>
      <c r="E241" s="50">
        <v>18000000</v>
      </c>
      <c r="F241" s="42" t="s">
        <v>3</v>
      </c>
      <c r="G241" t="s">
        <v>3</v>
      </c>
    </row>
    <row r="242" spans="1:7" x14ac:dyDescent="0.25">
      <c r="A242" s="5">
        <v>2</v>
      </c>
      <c r="B242" s="5">
        <v>2</v>
      </c>
      <c r="C242" s="53" t="s">
        <v>160</v>
      </c>
      <c r="D242" s="12" t="s">
        <v>241</v>
      </c>
      <c r="E242" s="54">
        <f>E243</f>
        <v>1000000</v>
      </c>
      <c r="F242" s="5" t="s">
        <v>3</v>
      </c>
      <c r="G242" t="s">
        <v>3</v>
      </c>
    </row>
    <row r="243" spans="1:7" x14ac:dyDescent="0.25">
      <c r="A243" s="5"/>
      <c r="B243" s="5"/>
      <c r="C243" s="53"/>
      <c r="D243" s="98" t="s">
        <v>208</v>
      </c>
      <c r="E243" s="50">
        <v>1000000</v>
      </c>
      <c r="F243" s="42" t="s">
        <v>3</v>
      </c>
      <c r="G243" t="s">
        <v>3</v>
      </c>
    </row>
    <row r="244" spans="1:7" s="185" customFormat="1" ht="30" x14ac:dyDescent="0.25">
      <c r="A244" s="3">
        <v>2</v>
      </c>
      <c r="B244" s="3">
        <v>2</v>
      </c>
      <c r="C244" s="34" t="s">
        <v>196</v>
      </c>
      <c r="D244" s="2" t="s">
        <v>242</v>
      </c>
      <c r="E244" s="35">
        <f>E245+E249</f>
        <v>40500000</v>
      </c>
      <c r="F244" s="3" t="s">
        <v>3</v>
      </c>
      <c r="G244" t="s">
        <v>3</v>
      </c>
    </row>
    <row r="245" spans="1:7" x14ac:dyDescent="0.25">
      <c r="A245" s="3"/>
      <c r="B245" s="3"/>
      <c r="C245" s="34"/>
      <c r="D245" s="43" t="s">
        <v>243</v>
      </c>
      <c r="E245" s="37">
        <f>SUM(E246:E248)</f>
        <v>19000000</v>
      </c>
      <c r="F245" s="36" t="s">
        <v>3</v>
      </c>
      <c r="G245" t="s">
        <v>3</v>
      </c>
    </row>
    <row r="246" spans="1:7" x14ac:dyDescent="0.25">
      <c r="A246" s="3"/>
      <c r="B246" s="3"/>
      <c r="C246" s="34"/>
      <c r="D246" s="98" t="s">
        <v>412</v>
      </c>
      <c r="E246" s="51">
        <v>19000000</v>
      </c>
      <c r="F246" s="42"/>
    </row>
    <row r="247" spans="1:7" x14ac:dyDescent="0.25">
      <c r="A247" s="3"/>
      <c r="B247" s="3"/>
      <c r="C247" s="34"/>
      <c r="D247" s="98" t="s">
        <v>411</v>
      </c>
      <c r="E247" s="51">
        <v>0</v>
      </c>
      <c r="F247" s="42"/>
    </row>
    <row r="248" spans="1:7" x14ac:dyDescent="0.25">
      <c r="A248" s="3"/>
      <c r="B248" s="3"/>
      <c r="C248" s="34"/>
      <c r="D248" s="98" t="s">
        <v>493</v>
      </c>
      <c r="E248" s="51">
        <v>0</v>
      </c>
      <c r="F248" s="42"/>
    </row>
    <row r="249" spans="1:7" x14ac:dyDescent="0.25">
      <c r="A249" s="5"/>
      <c r="B249" s="5"/>
      <c r="C249" s="53"/>
      <c r="D249" s="43" t="s">
        <v>485</v>
      </c>
      <c r="E249" s="37">
        <v>21500000</v>
      </c>
      <c r="F249" s="42" t="s">
        <v>3</v>
      </c>
      <c r="G249" t="s">
        <v>3</v>
      </c>
    </row>
    <row r="250" spans="1:7" x14ac:dyDescent="0.25">
      <c r="A250" s="8">
        <v>2</v>
      </c>
      <c r="B250" s="8">
        <v>3</v>
      </c>
      <c r="C250" s="8"/>
      <c r="D250" s="6" t="s">
        <v>244</v>
      </c>
      <c r="E250" s="57">
        <f>E251+E253+E254+E256+E257+E261+E263+E266+E269+E271</f>
        <v>140000000</v>
      </c>
      <c r="F250" s="8"/>
    </row>
    <row r="251" spans="1:7" s="185" customFormat="1" hidden="1" x14ac:dyDescent="0.25">
      <c r="A251" s="89">
        <v>2</v>
      </c>
      <c r="B251" s="89">
        <v>3</v>
      </c>
      <c r="C251" s="90" t="s">
        <v>85</v>
      </c>
      <c r="D251" s="17" t="s">
        <v>245</v>
      </c>
      <c r="E251" s="91">
        <f>E252</f>
        <v>0</v>
      </c>
      <c r="F251" s="89" t="s">
        <v>3</v>
      </c>
    </row>
    <row r="252" spans="1:7" ht="30" hidden="1" x14ac:dyDescent="0.25">
      <c r="A252" s="89"/>
      <c r="B252" s="89"/>
      <c r="C252" s="90"/>
      <c r="D252" s="103" t="s">
        <v>246</v>
      </c>
      <c r="E252" s="104"/>
      <c r="F252" s="105" t="s">
        <v>3</v>
      </c>
    </row>
    <row r="253" spans="1:7" hidden="1" x14ac:dyDescent="0.25">
      <c r="A253" s="5">
        <v>2</v>
      </c>
      <c r="B253" s="5">
        <v>3</v>
      </c>
      <c r="C253" s="53" t="s">
        <v>89</v>
      </c>
      <c r="D253" s="12" t="s">
        <v>247</v>
      </c>
      <c r="E253" s="54"/>
      <c r="F253" s="5"/>
    </row>
    <row r="254" spans="1:7" hidden="1" x14ac:dyDescent="0.25">
      <c r="A254" s="5">
        <v>2</v>
      </c>
      <c r="B254" s="5">
        <v>3</v>
      </c>
      <c r="C254" s="53" t="s">
        <v>98</v>
      </c>
      <c r="D254" s="12" t="s">
        <v>248</v>
      </c>
      <c r="E254" s="54">
        <f>SUM(E255)</f>
        <v>0</v>
      </c>
      <c r="F254" s="5" t="s">
        <v>3</v>
      </c>
    </row>
    <row r="255" spans="1:7" ht="30" hidden="1" x14ac:dyDescent="0.25">
      <c r="A255" s="5"/>
      <c r="B255" s="5"/>
      <c r="C255" s="53"/>
      <c r="D255" s="43" t="s">
        <v>249</v>
      </c>
      <c r="E255" s="37">
        <v>0</v>
      </c>
      <c r="F255" s="5"/>
    </row>
    <row r="256" spans="1:7" hidden="1" x14ac:dyDescent="0.25">
      <c r="A256" s="5">
        <v>2</v>
      </c>
      <c r="B256" s="5">
        <v>3</v>
      </c>
      <c r="C256" s="53" t="s">
        <v>122</v>
      </c>
      <c r="D256" s="12" t="s">
        <v>250</v>
      </c>
      <c r="E256" s="54"/>
      <c r="F256" s="5"/>
    </row>
    <row r="257" spans="1:6" ht="30" hidden="1" x14ac:dyDescent="0.25">
      <c r="A257" s="3">
        <v>2</v>
      </c>
      <c r="B257" s="3">
        <v>3</v>
      </c>
      <c r="C257" s="34" t="s">
        <v>199</v>
      </c>
      <c r="D257" s="2" t="s">
        <v>251</v>
      </c>
      <c r="E257" s="35">
        <f>SUM(E258:E260)</f>
        <v>0</v>
      </c>
      <c r="F257" s="3" t="s">
        <v>3</v>
      </c>
    </row>
    <row r="258" spans="1:6" hidden="1" x14ac:dyDescent="0.25">
      <c r="A258" s="5"/>
      <c r="B258" s="5"/>
      <c r="C258" s="53"/>
      <c r="D258" s="43"/>
      <c r="E258" s="37"/>
      <c r="F258" s="5"/>
    </row>
    <row r="259" spans="1:6" hidden="1" x14ac:dyDescent="0.25">
      <c r="A259" s="5"/>
      <c r="B259" s="5"/>
      <c r="C259" s="53"/>
      <c r="D259" s="43"/>
      <c r="E259" s="37"/>
      <c r="F259" s="5"/>
    </row>
    <row r="260" spans="1:6" hidden="1" x14ac:dyDescent="0.25">
      <c r="A260" s="5"/>
      <c r="B260" s="5"/>
      <c r="C260" s="53"/>
      <c r="D260" s="71"/>
      <c r="E260" s="50"/>
      <c r="F260" s="5"/>
    </row>
    <row r="261" spans="1:6" ht="30" hidden="1" x14ac:dyDescent="0.25">
      <c r="A261" s="3">
        <v>2</v>
      </c>
      <c r="B261" s="3">
        <v>3</v>
      </c>
      <c r="C261" s="34" t="s">
        <v>163</v>
      </c>
      <c r="D261" s="2" t="s">
        <v>252</v>
      </c>
      <c r="E261" s="35">
        <f>SUM(E262:E262)</f>
        <v>0</v>
      </c>
      <c r="F261" s="3" t="s">
        <v>3</v>
      </c>
    </row>
    <row r="262" spans="1:6" hidden="1" x14ac:dyDescent="0.25">
      <c r="A262" s="3"/>
      <c r="B262" s="3"/>
      <c r="C262" s="34"/>
      <c r="D262" s="43" t="s">
        <v>253</v>
      </c>
      <c r="E262" s="37">
        <v>0</v>
      </c>
      <c r="F262" s="5"/>
    </row>
    <row r="263" spans="1:6" ht="30" x14ac:dyDescent="0.25">
      <c r="A263" s="3">
        <v>2</v>
      </c>
      <c r="B263" s="3">
        <v>3</v>
      </c>
      <c r="C263" s="34" t="s">
        <v>254</v>
      </c>
      <c r="D263" s="2" t="s">
        <v>255</v>
      </c>
      <c r="E263" s="35">
        <f>SUM(E264:E265)</f>
        <v>140000000</v>
      </c>
      <c r="F263" s="3" t="s">
        <v>3</v>
      </c>
    </row>
    <row r="264" spans="1:6" hidden="1" x14ac:dyDescent="0.25">
      <c r="A264" s="5"/>
      <c r="B264" s="5"/>
      <c r="C264" s="53"/>
      <c r="D264" s="71" t="s">
        <v>256</v>
      </c>
      <c r="E264" s="50">
        <v>0</v>
      </c>
      <c r="F264" s="42"/>
    </row>
    <row r="265" spans="1:6" ht="30" x14ac:dyDescent="0.25">
      <c r="A265" s="5"/>
      <c r="B265" s="5"/>
      <c r="C265" s="53"/>
      <c r="D265" s="43" t="s">
        <v>415</v>
      </c>
      <c r="E265" s="37">
        <v>140000000</v>
      </c>
      <c r="F265" s="5"/>
    </row>
    <row r="266" spans="1:6" ht="45" hidden="1" x14ac:dyDescent="0.25">
      <c r="A266" s="3">
        <v>2</v>
      </c>
      <c r="B266" s="3">
        <v>3</v>
      </c>
      <c r="C266" s="34" t="s">
        <v>257</v>
      </c>
      <c r="D266" s="2" t="s">
        <v>258</v>
      </c>
      <c r="E266" s="35">
        <f>SUM(E267:E268)</f>
        <v>0</v>
      </c>
      <c r="F266" s="3" t="s">
        <v>6</v>
      </c>
    </row>
    <row r="267" spans="1:6" ht="30" hidden="1" x14ac:dyDescent="0.25">
      <c r="A267" s="3"/>
      <c r="B267" s="3"/>
      <c r="C267" s="34"/>
      <c r="D267" s="43" t="s">
        <v>259</v>
      </c>
      <c r="E267" s="37">
        <v>0</v>
      </c>
      <c r="F267" s="3"/>
    </row>
    <row r="268" spans="1:6" hidden="1" x14ac:dyDescent="0.25">
      <c r="A268" s="5"/>
      <c r="B268" s="5"/>
      <c r="C268" s="53"/>
      <c r="D268" s="71" t="s">
        <v>260</v>
      </c>
      <c r="E268" s="50">
        <v>0</v>
      </c>
      <c r="F268" s="5"/>
    </row>
    <row r="269" spans="1:6" ht="30" hidden="1" x14ac:dyDescent="0.25">
      <c r="A269" s="3">
        <v>2</v>
      </c>
      <c r="B269" s="3">
        <v>3</v>
      </c>
      <c r="C269" s="34" t="s">
        <v>261</v>
      </c>
      <c r="D269" s="2" t="s">
        <v>262</v>
      </c>
      <c r="E269" s="35">
        <f>E270</f>
        <v>0</v>
      </c>
      <c r="F269" s="3" t="s">
        <v>3</v>
      </c>
    </row>
    <row r="270" spans="1:6" ht="30" hidden="1" x14ac:dyDescent="0.25">
      <c r="A270" s="3"/>
      <c r="B270" s="3"/>
      <c r="C270" s="34"/>
      <c r="D270" s="43" t="s">
        <v>263</v>
      </c>
      <c r="E270" s="37">
        <v>0</v>
      </c>
      <c r="F270" s="3"/>
    </row>
    <row r="271" spans="1:6" ht="30" hidden="1" x14ac:dyDescent="0.25">
      <c r="A271" s="3">
        <v>2</v>
      </c>
      <c r="B271" s="3">
        <v>3</v>
      </c>
      <c r="C271" s="34" t="s">
        <v>264</v>
      </c>
      <c r="D271" s="2" t="s">
        <v>265</v>
      </c>
      <c r="E271" s="35">
        <f>SUM(E272:E272)</f>
        <v>0</v>
      </c>
      <c r="F271" s="3" t="s">
        <v>3</v>
      </c>
    </row>
    <row r="272" spans="1:6" hidden="1" x14ac:dyDescent="0.25">
      <c r="A272" s="3"/>
      <c r="B272" s="3"/>
      <c r="C272" s="34"/>
      <c r="D272" s="43" t="s">
        <v>266</v>
      </c>
      <c r="E272" s="40">
        <v>0</v>
      </c>
      <c r="F272" s="3"/>
    </row>
    <row r="273" spans="1:9" x14ac:dyDescent="0.25">
      <c r="A273" s="8">
        <v>2</v>
      </c>
      <c r="B273" s="8">
        <v>4</v>
      </c>
      <c r="C273" s="8"/>
      <c r="D273" s="6" t="s">
        <v>267</v>
      </c>
      <c r="E273" s="57">
        <f>E274+E277+E279+E286+E288+E291+E294+E296</f>
        <v>399500000</v>
      </c>
      <c r="F273" s="8"/>
    </row>
    <row r="274" spans="1:9" ht="30" x14ac:dyDescent="0.25">
      <c r="A274" s="3">
        <v>2</v>
      </c>
      <c r="B274" s="3">
        <v>4</v>
      </c>
      <c r="C274" s="34" t="s">
        <v>85</v>
      </c>
      <c r="D274" s="2" t="s">
        <v>268</v>
      </c>
      <c r="E274" s="35">
        <f>SUM(E275:E276)</f>
        <v>257500000</v>
      </c>
      <c r="F274" s="3" t="s">
        <v>3</v>
      </c>
    </row>
    <row r="275" spans="1:9" ht="30" x14ac:dyDescent="0.25">
      <c r="A275" s="5"/>
      <c r="B275" s="3"/>
      <c r="C275" s="34"/>
      <c r="D275" s="43" t="s">
        <v>494</v>
      </c>
      <c r="E275" s="37">
        <v>100000000</v>
      </c>
      <c r="F275" s="36" t="s">
        <v>3</v>
      </c>
      <c r="H275">
        <f>35*4500000</f>
        <v>157500000</v>
      </c>
    </row>
    <row r="276" spans="1:9" x14ac:dyDescent="0.25">
      <c r="A276" s="5"/>
      <c r="B276" s="3"/>
      <c r="C276" s="34"/>
      <c r="D276" s="43" t="s">
        <v>484</v>
      </c>
      <c r="E276" s="37">
        <v>157500000</v>
      </c>
      <c r="F276" s="36" t="s">
        <v>3</v>
      </c>
      <c r="H276" s="173">
        <f>E276/36</f>
        <v>4375000</v>
      </c>
      <c r="I276" s="173">
        <f>H276*12.5%</f>
        <v>546875</v>
      </c>
    </row>
    <row r="277" spans="1:9" hidden="1" x14ac:dyDescent="0.25">
      <c r="A277" s="3">
        <v>2</v>
      </c>
      <c r="B277" s="3">
        <v>4</v>
      </c>
      <c r="C277" s="34" t="s">
        <v>98</v>
      </c>
      <c r="D277" s="2" t="s">
        <v>270</v>
      </c>
      <c r="E277" s="35">
        <f>SUM(E278:E278)</f>
        <v>0</v>
      </c>
      <c r="F277" s="3" t="s">
        <v>3</v>
      </c>
    </row>
    <row r="278" spans="1:9" hidden="1" x14ac:dyDescent="0.25">
      <c r="A278" s="5"/>
      <c r="B278" s="3"/>
      <c r="C278" s="34"/>
      <c r="D278" s="43" t="s">
        <v>271</v>
      </c>
      <c r="E278" s="37">
        <v>0</v>
      </c>
      <c r="F278" s="3"/>
    </row>
    <row r="279" spans="1:9" s="185" customFormat="1" x14ac:dyDescent="0.25">
      <c r="A279" s="3">
        <v>2</v>
      </c>
      <c r="B279" s="3">
        <v>4</v>
      </c>
      <c r="C279" s="34" t="s">
        <v>159</v>
      </c>
      <c r="D279" s="2" t="s">
        <v>272</v>
      </c>
      <c r="E279" s="35">
        <f>SUM(E280:E285)</f>
        <v>92000000</v>
      </c>
      <c r="F279" s="3" t="s">
        <v>3</v>
      </c>
      <c r="I279" s="241">
        <f>H276-I276</f>
        <v>3828125</v>
      </c>
    </row>
    <row r="280" spans="1:9" x14ac:dyDescent="0.25">
      <c r="A280" s="5"/>
      <c r="B280" s="5"/>
      <c r="C280" s="53"/>
      <c r="D280" s="43" t="s">
        <v>487</v>
      </c>
      <c r="E280" s="37">
        <v>72000000</v>
      </c>
      <c r="F280" s="3"/>
      <c r="H280">
        <f>1000000*6*12</f>
        <v>72000000</v>
      </c>
    </row>
    <row r="281" spans="1:9" hidden="1" x14ac:dyDescent="0.25">
      <c r="A281" s="5"/>
      <c r="B281" s="5"/>
      <c r="C281" s="53"/>
      <c r="D281" s="71" t="s">
        <v>274</v>
      </c>
      <c r="E281" s="50">
        <v>0</v>
      </c>
      <c r="F281" s="46"/>
      <c r="H281">
        <f>37*4</f>
        <v>148</v>
      </c>
    </row>
    <row r="282" spans="1:9" hidden="1" x14ac:dyDescent="0.25">
      <c r="A282" s="5"/>
      <c r="B282" s="5"/>
      <c r="C282" s="53"/>
      <c r="D282" s="71" t="s">
        <v>275</v>
      </c>
      <c r="E282" s="50">
        <v>0</v>
      </c>
      <c r="F282" s="46"/>
      <c r="H282">
        <f>H281/2</f>
        <v>74</v>
      </c>
    </row>
    <row r="283" spans="1:9" hidden="1" x14ac:dyDescent="0.25">
      <c r="A283" s="5"/>
      <c r="B283" s="5"/>
      <c r="C283" s="53"/>
      <c r="D283" s="71" t="s">
        <v>276</v>
      </c>
      <c r="E283" s="50">
        <v>0</v>
      </c>
      <c r="F283" s="46"/>
    </row>
    <row r="284" spans="1:9" hidden="1" x14ac:dyDescent="0.25">
      <c r="A284" s="5"/>
      <c r="B284" s="5"/>
      <c r="C284" s="53"/>
      <c r="D284" s="71" t="s">
        <v>277</v>
      </c>
      <c r="E284" s="50">
        <v>0</v>
      </c>
      <c r="F284" s="46"/>
    </row>
    <row r="285" spans="1:9" x14ac:dyDescent="0.25">
      <c r="A285" s="3"/>
      <c r="B285" s="3"/>
      <c r="C285" s="34"/>
      <c r="D285" s="43" t="s">
        <v>416</v>
      </c>
      <c r="E285" s="37">
        <v>20000000</v>
      </c>
      <c r="F285" s="97"/>
    </row>
    <row r="286" spans="1:9" hidden="1" x14ac:dyDescent="0.25">
      <c r="A286" s="5">
        <v>2</v>
      </c>
      <c r="B286" s="5">
        <v>4</v>
      </c>
      <c r="C286" s="53" t="s">
        <v>160</v>
      </c>
      <c r="D286" s="12" t="s">
        <v>280</v>
      </c>
      <c r="E286" s="54">
        <f>SUM(E287:E287)</f>
        <v>0</v>
      </c>
      <c r="F286" s="5" t="s">
        <v>3</v>
      </c>
    </row>
    <row r="287" spans="1:9" hidden="1" x14ac:dyDescent="0.25">
      <c r="A287" s="5"/>
      <c r="B287" s="5"/>
      <c r="C287" s="53"/>
      <c r="D287" s="71" t="s">
        <v>281</v>
      </c>
      <c r="E287" s="50">
        <v>0</v>
      </c>
      <c r="F287" s="5"/>
    </row>
    <row r="288" spans="1:9" ht="30" hidden="1" x14ac:dyDescent="0.25">
      <c r="A288" s="3">
        <v>2</v>
      </c>
      <c r="B288" s="3">
        <v>4</v>
      </c>
      <c r="C288" s="34">
        <v>11</v>
      </c>
      <c r="D288" s="2" t="s">
        <v>282</v>
      </c>
      <c r="E288" s="35">
        <f>SUM(E289:E290)</f>
        <v>0</v>
      </c>
      <c r="F288" s="3" t="s">
        <v>3</v>
      </c>
    </row>
    <row r="289" spans="1:6" hidden="1" x14ac:dyDescent="0.25">
      <c r="A289" s="3"/>
      <c r="B289" s="3"/>
      <c r="C289" s="34"/>
      <c r="D289" s="71" t="s">
        <v>283</v>
      </c>
      <c r="E289" s="50">
        <v>0</v>
      </c>
      <c r="F289" s="42" t="s">
        <v>3</v>
      </c>
    </row>
    <row r="290" spans="1:6" hidden="1" x14ac:dyDescent="0.25">
      <c r="A290" s="3"/>
      <c r="B290" s="3"/>
      <c r="C290" s="34"/>
      <c r="D290" s="71" t="s">
        <v>283</v>
      </c>
      <c r="E290" s="50">
        <v>0</v>
      </c>
      <c r="F290" s="42" t="s">
        <v>4</v>
      </c>
    </row>
    <row r="291" spans="1:6" ht="30" x14ac:dyDescent="0.25">
      <c r="A291" s="3">
        <v>2</v>
      </c>
      <c r="B291" s="3">
        <v>4</v>
      </c>
      <c r="C291" s="106">
        <v>12</v>
      </c>
      <c r="D291" s="107" t="s">
        <v>284</v>
      </c>
      <c r="E291" s="35">
        <f>E292</f>
        <v>20000000</v>
      </c>
      <c r="F291" s="3" t="s">
        <v>3</v>
      </c>
    </row>
    <row r="292" spans="1:6" ht="18" customHeight="1" x14ac:dyDescent="0.25">
      <c r="A292" s="5"/>
      <c r="B292" s="5"/>
      <c r="C292" s="108"/>
      <c r="D292" s="43" t="s">
        <v>486</v>
      </c>
      <c r="E292" s="37">
        <v>20000000</v>
      </c>
      <c r="F292" s="92"/>
    </row>
    <row r="293" spans="1:6" hidden="1" x14ac:dyDescent="0.25">
      <c r="A293" s="3">
        <v>2</v>
      </c>
      <c r="B293" s="3">
        <v>4</v>
      </c>
      <c r="C293" s="34" t="s">
        <v>286</v>
      </c>
      <c r="D293" s="2" t="s">
        <v>287</v>
      </c>
      <c r="E293" s="109"/>
      <c r="F293" s="97"/>
    </row>
    <row r="294" spans="1:6" ht="30" x14ac:dyDescent="0.25">
      <c r="A294" s="3">
        <v>2</v>
      </c>
      <c r="B294" s="3">
        <v>4</v>
      </c>
      <c r="C294" s="34" t="s">
        <v>257</v>
      </c>
      <c r="D294" s="2" t="s">
        <v>288</v>
      </c>
      <c r="E294" s="35">
        <f>E295</f>
        <v>30000000</v>
      </c>
      <c r="F294" s="3" t="s">
        <v>3</v>
      </c>
    </row>
    <row r="295" spans="1:6" x14ac:dyDescent="0.25">
      <c r="A295" s="5"/>
      <c r="B295" s="5"/>
      <c r="C295" s="53"/>
      <c r="D295" s="43" t="s">
        <v>289</v>
      </c>
      <c r="E295" s="40">
        <v>30000000</v>
      </c>
      <c r="F295" s="42" t="s">
        <v>432</v>
      </c>
    </row>
    <row r="296" spans="1:6" s="185" customFormat="1" ht="30" hidden="1" x14ac:dyDescent="0.25">
      <c r="A296" s="3">
        <v>2</v>
      </c>
      <c r="B296" s="3">
        <v>4</v>
      </c>
      <c r="C296" s="34" t="s">
        <v>261</v>
      </c>
      <c r="D296" s="2" t="s">
        <v>290</v>
      </c>
      <c r="E296" s="35">
        <f>SUM(E297:E299)</f>
        <v>0</v>
      </c>
      <c r="F296" s="3" t="s">
        <v>3</v>
      </c>
    </row>
    <row r="297" spans="1:6" hidden="1" x14ac:dyDescent="0.25">
      <c r="A297" s="3"/>
      <c r="B297" s="3"/>
      <c r="C297" s="34"/>
      <c r="D297" s="43" t="s">
        <v>291</v>
      </c>
      <c r="E297" s="37"/>
      <c r="F297" s="36" t="s">
        <v>3</v>
      </c>
    </row>
    <row r="298" spans="1:6" hidden="1" x14ac:dyDescent="0.25">
      <c r="A298" s="5"/>
      <c r="B298" s="5"/>
      <c r="C298" s="53"/>
      <c r="D298" s="71" t="s">
        <v>278</v>
      </c>
      <c r="E298" s="50">
        <v>0</v>
      </c>
      <c r="F298" s="42"/>
    </row>
    <row r="299" spans="1:6" hidden="1" x14ac:dyDescent="0.25">
      <c r="A299" s="5"/>
      <c r="B299" s="5"/>
      <c r="C299" s="53"/>
      <c r="D299" s="71" t="s">
        <v>279</v>
      </c>
      <c r="E299" s="50">
        <v>0</v>
      </c>
      <c r="F299" s="42" t="s">
        <v>3</v>
      </c>
    </row>
    <row r="300" spans="1:6" hidden="1" x14ac:dyDescent="0.25">
      <c r="A300" s="5"/>
      <c r="B300" s="5"/>
      <c r="C300" s="53"/>
      <c r="D300" s="71"/>
      <c r="E300" s="64"/>
      <c r="F300" s="5"/>
    </row>
    <row r="301" spans="1:6" ht="30" hidden="1" x14ac:dyDescent="0.25">
      <c r="A301" s="3">
        <v>2</v>
      </c>
      <c r="B301" s="3">
        <v>4</v>
      </c>
      <c r="C301" s="34" t="s">
        <v>264</v>
      </c>
      <c r="D301" s="110" t="s">
        <v>292</v>
      </c>
      <c r="E301" s="45">
        <f>E302</f>
        <v>0</v>
      </c>
      <c r="F301" s="4" t="s">
        <v>3</v>
      </c>
    </row>
    <row r="302" spans="1:6" hidden="1" x14ac:dyDescent="0.25">
      <c r="A302" s="5"/>
      <c r="B302" s="5"/>
      <c r="C302" s="53"/>
      <c r="D302" s="111" t="s">
        <v>293</v>
      </c>
      <c r="E302" s="112"/>
      <c r="F302" s="113"/>
    </row>
    <row r="303" spans="1:6" hidden="1" x14ac:dyDescent="0.25">
      <c r="A303" s="5"/>
      <c r="B303" s="5"/>
      <c r="C303" s="53"/>
      <c r="D303" s="111"/>
      <c r="E303" s="112"/>
      <c r="F303" s="113"/>
    </row>
    <row r="304" spans="1:6" hidden="1" x14ac:dyDescent="0.25">
      <c r="A304" s="5"/>
      <c r="B304" s="5"/>
      <c r="C304" s="53"/>
      <c r="D304" s="111"/>
      <c r="E304" s="112"/>
      <c r="F304" s="113"/>
    </row>
    <row r="305" spans="1:6" hidden="1" x14ac:dyDescent="0.25">
      <c r="A305" s="10">
        <v>2</v>
      </c>
      <c r="B305" s="10">
        <v>5</v>
      </c>
      <c r="C305" s="10"/>
      <c r="D305" s="114" t="s">
        <v>294</v>
      </c>
      <c r="E305" s="206">
        <f>E306+E309</f>
        <v>0</v>
      </c>
      <c r="F305" s="10"/>
    </row>
    <row r="306" spans="1:6" s="185" customFormat="1" hidden="1" x14ac:dyDescent="0.25">
      <c r="A306" s="92">
        <v>2</v>
      </c>
      <c r="B306" s="5">
        <v>5</v>
      </c>
      <c r="C306" s="53" t="s">
        <v>89</v>
      </c>
      <c r="D306" s="5" t="s">
        <v>295</v>
      </c>
      <c r="E306" s="54">
        <f>SUM(E307:E308)</f>
        <v>0</v>
      </c>
      <c r="F306" s="5" t="s">
        <v>3</v>
      </c>
    </row>
    <row r="307" spans="1:6" hidden="1" x14ac:dyDescent="0.25">
      <c r="A307" s="92"/>
      <c r="B307" s="92"/>
      <c r="C307" s="116"/>
      <c r="D307" s="42" t="s">
        <v>296</v>
      </c>
      <c r="E307" s="50">
        <v>0</v>
      </c>
      <c r="F307" s="42" t="s">
        <v>3</v>
      </c>
    </row>
    <row r="308" spans="1:6" hidden="1" x14ac:dyDescent="0.25">
      <c r="A308" s="92"/>
      <c r="B308" s="92"/>
      <c r="C308" s="116"/>
      <c r="D308" s="42" t="s">
        <v>297</v>
      </c>
      <c r="E308" s="50"/>
      <c r="F308" s="42" t="s">
        <v>3</v>
      </c>
    </row>
    <row r="309" spans="1:6" s="185" customFormat="1" ht="30" hidden="1" x14ac:dyDescent="0.25">
      <c r="A309" s="5">
        <v>2</v>
      </c>
      <c r="B309" s="5">
        <v>5</v>
      </c>
      <c r="C309" s="53" t="s">
        <v>98</v>
      </c>
      <c r="D309" s="187" t="s">
        <v>298</v>
      </c>
      <c r="E309" s="35">
        <f>E310</f>
        <v>0</v>
      </c>
      <c r="F309" s="3" t="s">
        <v>3</v>
      </c>
    </row>
    <row r="310" spans="1:6" hidden="1" x14ac:dyDescent="0.25">
      <c r="A310" s="92"/>
      <c r="B310" s="92"/>
      <c r="C310" s="92"/>
      <c r="D310" s="71" t="s">
        <v>299</v>
      </c>
      <c r="E310" s="37"/>
      <c r="F310" s="36" t="s">
        <v>3</v>
      </c>
    </row>
    <row r="311" spans="1:6" hidden="1" x14ac:dyDescent="0.25">
      <c r="A311" s="92"/>
      <c r="B311" s="92"/>
      <c r="C311" s="92"/>
      <c r="D311" s="71"/>
      <c r="E311" s="50"/>
      <c r="F311" s="42"/>
    </row>
    <row r="312" spans="1:6" x14ac:dyDescent="0.25">
      <c r="A312" s="117">
        <v>2</v>
      </c>
      <c r="B312" s="117">
        <v>6</v>
      </c>
      <c r="C312" s="117"/>
      <c r="D312" s="13" t="s">
        <v>52</v>
      </c>
      <c r="E312" s="35">
        <f>E313+E317+E323</f>
        <v>26000000</v>
      </c>
      <c r="F312" s="69"/>
    </row>
    <row r="313" spans="1:6" hidden="1" x14ac:dyDescent="0.25">
      <c r="A313" s="5">
        <v>2</v>
      </c>
      <c r="B313" s="5">
        <v>6</v>
      </c>
      <c r="C313" s="53" t="s">
        <v>85</v>
      </c>
      <c r="D313" s="12" t="s">
        <v>300</v>
      </c>
      <c r="E313" s="54">
        <f>SUM(E314:E316)</f>
        <v>0</v>
      </c>
      <c r="F313" s="5" t="s">
        <v>3</v>
      </c>
    </row>
    <row r="314" spans="1:6" hidden="1" x14ac:dyDescent="0.25">
      <c r="A314" s="5"/>
      <c r="B314" s="5"/>
      <c r="C314" s="53"/>
      <c r="D314" s="71" t="s">
        <v>301</v>
      </c>
      <c r="E314" s="75"/>
      <c r="F314" s="46"/>
    </row>
    <row r="315" spans="1:6" hidden="1" x14ac:dyDescent="0.25">
      <c r="A315" s="5"/>
      <c r="B315" s="5"/>
      <c r="C315" s="53"/>
      <c r="D315" s="71" t="s">
        <v>302</v>
      </c>
      <c r="E315" s="75"/>
      <c r="F315" s="46"/>
    </row>
    <row r="316" spans="1:6" hidden="1" x14ac:dyDescent="0.25">
      <c r="A316" s="5"/>
      <c r="B316" s="5"/>
      <c r="C316" s="53"/>
      <c r="D316" s="71" t="s">
        <v>303</v>
      </c>
      <c r="E316" s="75"/>
      <c r="F316" s="46"/>
    </row>
    <row r="317" spans="1:6" ht="33.75" customHeight="1" x14ac:dyDescent="0.25">
      <c r="A317" s="3">
        <v>2</v>
      </c>
      <c r="B317" s="3">
        <v>6</v>
      </c>
      <c r="C317" s="34" t="s">
        <v>89</v>
      </c>
      <c r="D317" s="2" t="s">
        <v>53</v>
      </c>
      <c r="E317" s="35">
        <f>SUM(E318:E322)</f>
        <v>26000000</v>
      </c>
      <c r="F317" s="2" t="s">
        <v>304</v>
      </c>
    </row>
    <row r="318" spans="1:6" hidden="1" x14ac:dyDescent="0.25">
      <c r="A318" s="3"/>
      <c r="B318" s="3"/>
      <c r="C318" s="34"/>
      <c r="D318" s="42" t="s">
        <v>161</v>
      </c>
      <c r="E318" s="50">
        <v>0</v>
      </c>
      <c r="F318" s="2"/>
    </row>
    <row r="319" spans="1:6" x14ac:dyDescent="0.25">
      <c r="A319" s="3"/>
      <c r="B319" s="3"/>
      <c r="C319" s="34"/>
      <c r="D319" s="48" t="s">
        <v>162</v>
      </c>
      <c r="E319" s="49">
        <v>12000000</v>
      </c>
      <c r="F319" s="43" t="s">
        <v>3</v>
      </c>
    </row>
    <row r="320" spans="1:6" x14ac:dyDescent="0.25">
      <c r="A320" s="3"/>
      <c r="B320" s="3"/>
      <c r="C320" s="34"/>
      <c r="D320" s="48" t="s">
        <v>162</v>
      </c>
      <c r="E320" s="49">
        <v>12000000</v>
      </c>
      <c r="F320" s="43" t="s">
        <v>0</v>
      </c>
    </row>
    <row r="321" spans="1:6" x14ac:dyDescent="0.25">
      <c r="A321" s="3"/>
      <c r="B321" s="3"/>
      <c r="C321" s="34"/>
      <c r="D321" s="43" t="s">
        <v>305</v>
      </c>
      <c r="E321" s="37">
        <v>2000000</v>
      </c>
      <c r="F321" s="43" t="s">
        <v>0</v>
      </c>
    </row>
    <row r="322" spans="1:6" hidden="1" x14ac:dyDescent="0.25">
      <c r="A322" s="3"/>
      <c r="B322" s="3"/>
      <c r="C322" s="34"/>
      <c r="D322" s="103" t="s">
        <v>306</v>
      </c>
      <c r="E322" s="104">
        <v>0</v>
      </c>
      <c r="F322" s="119"/>
    </row>
    <row r="323" spans="1:6" ht="30" hidden="1" x14ac:dyDescent="0.25">
      <c r="A323" s="93">
        <v>2</v>
      </c>
      <c r="B323" s="93">
        <v>6</v>
      </c>
      <c r="C323" s="94" t="s">
        <v>98</v>
      </c>
      <c r="D323" s="95" t="s">
        <v>307</v>
      </c>
      <c r="E323" s="96">
        <f>SUM(E324:E325)</f>
        <v>0</v>
      </c>
      <c r="F323" s="95" t="s">
        <v>3</v>
      </c>
    </row>
    <row r="324" spans="1:6" hidden="1" x14ac:dyDescent="0.25">
      <c r="A324" s="3"/>
      <c r="B324" s="3"/>
      <c r="C324" s="34"/>
      <c r="D324" s="103" t="s">
        <v>308</v>
      </c>
      <c r="E324" s="104">
        <v>0</v>
      </c>
      <c r="F324" s="2"/>
    </row>
    <row r="325" spans="1:6" hidden="1" x14ac:dyDescent="0.25">
      <c r="A325" s="3"/>
      <c r="B325" s="3"/>
      <c r="C325" s="34"/>
      <c r="D325" s="103" t="s">
        <v>309</v>
      </c>
      <c r="E325" s="104"/>
      <c r="F325" s="119"/>
    </row>
    <row r="326" spans="1:6" hidden="1" x14ac:dyDescent="0.25">
      <c r="A326" s="10">
        <v>2</v>
      </c>
      <c r="B326" s="10">
        <v>7</v>
      </c>
      <c r="C326" s="10"/>
      <c r="D326" s="114" t="s">
        <v>310</v>
      </c>
      <c r="E326" s="115"/>
      <c r="F326" s="10"/>
    </row>
    <row r="327" spans="1:6" x14ac:dyDescent="0.25">
      <c r="A327" s="10">
        <v>2</v>
      </c>
      <c r="B327" s="10">
        <v>8</v>
      </c>
      <c r="C327" s="8"/>
      <c r="D327" s="114" t="s">
        <v>311</v>
      </c>
      <c r="E327" s="57">
        <f>E330</f>
        <v>5000000</v>
      </c>
      <c r="F327" s="8"/>
    </row>
    <row r="328" spans="1:6" hidden="1" x14ac:dyDescent="0.25">
      <c r="A328" s="3">
        <v>2</v>
      </c>
      <c r="B328" s="3">
        <v>8</v>
      </c>
      <c r="C328" s="34" t="s">
        <v>85</v>
      </c>
      <c r="D328" s="2" t="s">
        <v>312</v>
      </c>
      <c r="E328" s="35"/>
      <c r="F328" s="3"/>
    </row>
    <row r="329" spans="1:6" s="188" customFormat="1" ht="30" hidden="1" x14ac:dyDescent="0.25">
      <c r="A329" s="3">
        <v>2</v>
      </c>
      <c r="B329" s="3">
        <v>8</v>
      </c>
      <c r="C329" s="34" t="s">
        <v>89</v>
      </c>
      <c r="D329" s="2" t="s">
        <v>313</v>
      </c>
      <c r="E329" s="35"/>
      <c r="F329" s="3"/>
    </row>
    <row r="330" spans="1:6" s="185" customFormat="1" x14ac:dyDescent="0.25">
      <c r="A330" s="5">
        <v>2</v>
      </c>
      <c r="B330" s="5">
        <v>8</v>
      </c>
      <c r="C330" s="53" t="s">
        <v>98</v>
      </c>
      <c r="D330" s="17" t="s">
        <v>314</v>
      </c>
      <c r="E330" s="54">
        <f>SUM(E331:E333)</f>
        <v>5000000</v>
      </c>
      <c r="F330" s="5" t="s">
        <v>3</v>
      </c>
    </row>
    <row r="331" spans="1:6" x14ac:dyDescent="0.25">
      <c r="A331" s="5"/>
      <c r="B331" s="5"/>
      <c r="C331" s="53"/>
      <c r="D331" s="120" t="s">
        <v>499</v>
      </c>
      <c r="E331" s="49">
        <v>5000000</v>
      </c>
      <c r="F331" s="92" t="s">
        <v>3</v>
      </c>
    </row>
    <row r="332" spans="1:6" hidden="1" x14ac:dyDescent="0.25">
      <c r="A332" s="5"/>
      <c r="B332" s="5"/>
      <c r="C332" s="53"/>
      <c r="D332" s="120"/>
      <c r="E332" s="49"/>
      <c r="F332" s="92" t="s">
        <v>3</v>
      </c>
    </row>
    <row r="333" spans="1:6" hidden="1" x14ac:dyDescent="0.25">
      <c r="A333" s="5"/>
      <c r="B333" s="5"/>
      <c r="C333" s="53"/>
      <c r="D333" s="120"/>
      <c r="E333" s="49">
        <v>0</v>
      </c>
      <c r="F333" s="92" t="s">
        <v>316</v>
      </c>
    </row>
    <row r="334" spans="1:6" x14ac:dyDescent="0.25">
      <c r="A334" s="11">
        <v>3</v>
      </c>
      <c r="B334" s="11"/>
      <c r="C334" s="11"/>
      <c r="D334" s="14" t="s">
        <v>54</v>
      </c>
      <c r="E334" s="88">
        <f>E335+E354+E372+E384</f>
        <v>93588500</v>
      </c>
      <c r="F334" s="11"/>
    </row>
    <row r="335" spans="1:6" ht="30" x14ac:dyDescent="0.25">
      <c r="A335" s="119">
        <v>3</v>
      </c>
      <c r="B335" s="121">
        <v>1</v>
      </c>
      <c r="C335" s="121"/>
      <c r="D335" s="15" t="s">
        <v>55</v>
      </c>
      <c r="E335" s="122">
        <f>E336+E345+E350</f>
        <v>32088500</v>
      </c>
      <c r="F335" s="121"/>
    </row>
    <row r="336" spans="1:6" ht="15.75" customHeight="1" x14ac:dyDescent="0.25">
      <c r="A336" s="5">
        <v>3</v>
      </c>
      <c r="B336" s="5">
        <v>1</v>
      </c>
      <c r="C336" s="53" t="s">
        <v>85</v>
      </c>
      <c r="D336" s="12" t="s">
        <v>60</v>
      </c>
      <c r="E336" s="54">
        <f>E337+E340</f>
        <v>32088500</v>
      </c>
      <c r="F336" s="5" t="s">
        <v>1</v>
      </c>
    </row>
    <row r="337" spans="1:9" ht="18" hidden="1" customHeight="1" x14ac:dyDescent="0.25">
      <c r="A337" s="5"/>
      <c r="B337" s="5"/>
      <c r="C337" s="53"/>
      <c r="D337" s="72" t="s">
        <v>317</v>
      </c>
      <c r="E337" s="64">
        <f>SUM(E338:E339)</f>
        <v>0</v>
      </c>
      <c r="F337" s="63" t="s">
        <v>3</v>
      </c>
    </row>
    <row r="338" spans="1:9" hidden="1" x14ac:dyDescent="0.25">
      <c r="A338" s="5"/>
      <c r="B338" s="5"/>
      <c r="C338" s="53"/>
      <c r="D338" s="71" t="s">
        <v>318</v>
      </c>
      <c r="E338" s="51">
        <v>0</v>
      </c>
      <c r="F338" s="42" t="s">
        <v>3</v>
      </c>
    </row>
    <row r="339" spans="1:9" hidden="1" x14ac:dyDescent="0.25">
      <c r="A339" s="5"/>
      <c r="B339" s="5"/>
      <c r="C339" s="53"/>
      <c r="D339" s="71" t="s">
        <v>319</v>
      </c>
      <c r="E339" s="51">
        <v>0</v>
      </c>
      <c r="F339" s="42" t="s">
        <v>3</v>
      </c>
    </row>
    <row r="340" spans="1:9" ht="15.75" customHeight="1" x14ac:dyDescent="0.25">
      <c r="A340" s="5"/>
      <c r="B340" s="5"/>
      <c r="C340" s="53"/>
      <c r="D340" s="72" t="s">
        <v>320</v>
      </c>
      <c r="E340" s="64">
        <f>SUM(E341:E343)</f>
        <v>32088500</v>
      </c>
      <c r="F340" s="63" t="s">
        <v>1</v>
      </c>
    </row>
    <row r="341" spans="1:9" ht="15.75" customHeight="1" x14ac:dyDescent="0.25">
      <c r="A341" s="5"/>
      <c r="B341" s="5"/>
      <c r="C341" s="53"/>
      <c r="D341" s="71" t="s">
        <v>461</v>
      </c>
      <c r="E341" s="50">
        <v>20088500</v>
      </c>
      <c r="F341" s="42" t="s">
        <v>2</v>
      </c>
      <c r="H341">
        <f>16043900-225400</f>
        <v>15818500</v>
      </c>
      <c r="I341" s="173">
        <f>20000000-E341</f>
        <v>-88500</v>
      </c>
    </row>
    <row r="342" spans="1:9" ht="20.25" customHeight="1" x14ac:dyDescent="0.25">
      <c r="A342" s="3"/>
      <c r="B342" s="3"/>
      <c r="C342" s="34"/>
      <c r="D342" s="43" t="s">
        <v>321</v>
      </c>
      <c r="E342" s="37">
        <v>9000000</v>
      </c>
      <c r="F342" s="43" t="s">
        <v>1</v>
      </c>
      <c r="H342" s="173">
        <f>E341-255400</f>
        <v>19833100</v>
      </c>
    </row>
    <row r="343" spans="1:9" ht="17.25" customHeight="1" x14ac:dyDescent="0.25">
      <c r="A343" s="5"/>
      <c r="B343" s="5"/>
      <c r="C343" s="53"/>
      <c r="D343" s="71" t="s">
        <v>322</v>
      </c>
      <c r="E343" s="50">
        <v>3000000</v>
      </c>
      <c r="F343" s="48" t="s">
        <v>1</v>
      </c>
    </row>
    <row r="344" spans="1:9" hidden="1" x14ac:dyDescent="0.25">
      <c r="A344" s="5"/>
      <c r="B344" s="5"/>
      <c r="C344" s="53"/>
      <c r="D344" s="123"/>
      <c r="E344" s="75"/>
      <c r="F344" s="46"/>
    </row>
    <row r="345" spans="1:9" ht="30" hidden="1" x14ac:dyDescent="0.25">
      <c r="A345" s="5">
        <v>3</v>
      </c>
      <c r="B345" s="5">
        <v>1</v>
      </c>
      <c r="C345" s="53" t="s">
        <v>89</v>
      </c>
      <c r="D345" s="12" t="s">
        <v>323</v>
      </c>
      <c r="E345" s="75"/>
      <c r="F345" s="46"/>
    </row>
    <row r="346" spans="1:9" ht="30" hidden="1" x14ac:dyDescent="0.25">
      <c r="A346" s="5">
        <v>3</v>
      </c>
      <c r="B346" s="5">
        <v>1</v>
      </c>
      <c r="C346" s="53" t="s">
        <v>98</v>
      </c>
      <c r="D346" s="12" t="s">
        <v>324</v>
      </c>
      <c r="E346" s="75"/>
      <c r="F346" s="46"/>
    </row>
    <row r="347" spans="1:9" hidden="1" x14ac:dyDescent="0.25">
      <c r="A347" s="3">
        <v>3</v>
      </c>
      <c r="B347" s="3">
        <v>1</v>
      </c>
      <c r="C347" s="34" t="s">
        <v>109</v>
      </c>
      <c r="D347" s="2" t="s">
        <v>325</v>
      </c>
      <c r="E347" s="109"/>
      <c r="F347" s="97"/>
    </row>
    <row r="348" spans="1:9" hidden="1" x14ac:dyDescent="0.25">
      <c r="A348" s="5">
        <v>3</v>
      </c>
      <c r="B348" s="5">
        <v>1</v>
      </c>
      <c r="C348" s="53" t="s">
        <v>122</v>
      </c>
      <c r="D348" s="12" t="s">
        <v>326</v>
      </c>
      <c r="E348" s="75"/>
      <c r="F348" s="46"/>
    </row>
    <row r="349" spans="1:9" hidden="1" x14ac:dyDescent="0.25">
      <c r="A349" s="5">
        <v>3</v>
      </c>
      <c r="B349" s="5">
        <v>1</v>
      </c>
      <c r="C349" s="53" t="s">
        <v>125</v>
      </c>
      <c r="D349" s="12" t="s">
        <v>327</v>
      </c>
      <c r="E349" s="75"/>
      <c r="F349" s="46"/>
    </row>
    <row r="350" spans="1:9" ht="30" hidden="1" x14ac:dyDescent="0.25">
      <c r="A350" s="5">
        <v>3</v>
      </c>
      <c r="B350" s="5">
        <v>1</v>
      </c>
      <c r="C350" s="53" t="s">
        <v>159</v>
      </c>
      <c r="D350" s="12" t="s">
        <v>328</v>
      </c>
      <c r="E350" s="75">
        <f>SUM(E351:E353)</f>
        <v>0</v>
      </c>
      <c r="F350" s="46"/>
    </row>
    <row r="351" spans="1:9" hidden="1" x14ac:dyDescent="0.25">
      <c r="A351" s="5"/>
      <c r="B351" s="5"/>
      <c r="C351" s="53"/>
      <c r="D351" s="12"/>
      <c r="E351" s="75"/>
      <c r="F351" s="46"/>
    </row>
    <row r="352" spans="1:9" hidden="1" x14ac:dyDescent="0.25">
      <c r="A352" s="5"/>
      <c r="B352" s="5"/>
      <c r="C352" s="53"/>
      <c r="D352" s="12"/>
      <c r="E352" s="75"/>
      <c r="F352" s="46"/>
    </row>
    <row r="353" spans="1:6" hidden="1" x14ac:dyDescent="0.25">
      <c r="A353" s="5"/>
      <c r="B353" s="5"/>
      <c r="C353" s="53"/>
      <c r="D353" s="12"/>
      <c r="E353" s="75"/>
      <c r="F353" s="46"/>
    </row>
    <row r="354" spans="1:6" x14ac:dyDescent="0.25">
      <c r="A354" s="121">
        <v>3</v>
      </c>
      <c r="B354" s="121">
        <v>2</v>
      </c>
      <c r="C354" s="121"/>
      <c r="D354" s="15" t="s">
        <v>56</v>
      </c>
      <c r="E354" s="122">
        <f>E355+E357+E360</f>
        <v>22000000</v>
      </c>
      <c r="F354" s="15"/>
    </row>
    <row r="355" spans="1:6" x14ac:dyDescent="0.25">
      <c r="A355" s="3">
        <v>3</v>
      </c>
      <c r="B355" s="3">
        <v>2</v>
      </c>
      <c r="C355" s="34" t="s">
        <v>85</v>
      </c>
      <c r="D355" s="2" t="s">
        <v>57</v>
      </c>
      <c r="E355" s="35">
        <f>SUM(E356:E356)</f>
        <v>10000000</v>
      </c>
      <c r="F355" s="3" t="s">
        <v>1</v>
      </c>
    </row>
    <row r="356" spans="1:6" ht="13.5" customHeight="1" x14ac:dyDescent="0.25">
      <c r="A356" s="3"/>
      <c r="B356" s="3"/>
      <c r="C356" s="34"/>
      <c r="D356" s="43" t="s">
        <v>329</v>
      </c>
      <c r="E356" s="37">
        <v>10000000</v>
      </c>
      <c r="F356" s="36" t="s">
        <v>1</v>
      </c>
    </row>
    <row r="357" spans="1:6" ht="29.25" customHeight="1" x14ac:dyDescent="0.25">
      <c r="A357" s="3">
        <v>3</v>
      </c>
      <c r="B357" s="3">
        <v>2</v>
      </c>
      <c r="C357" s="34" t="s">
        <v>89</v>
      </c>
      <c r="D357" s="2" t="s">
        <v>58</v>
      </c>
      <c r="E357" s="35">
        <f>SUM(E358:E359)</f>
        <v>7000000</v>
      </c>
      <c r="F357" s="3" t="s">
        <v>330</v>
      </c>
    </row>
    <row r="358" spans="1:6" x14ac:dyDescent="0.25">
      <c r="A358" s="3"/>
      <c r="B358" s="3"/>
      <c r="C358" s="34"/>
      <c r="D358" s="103" t="s">
        <v>331</v>
      </c>
      <c r="E358" s="104">
        <v>2000000</v>
      </c>
      <c r="F358" s="105" t="s">
        <v>1</v>
      </c>
    </row>
    <row r="359" spans="1:6" ht="19.5" customHeight="1" x14ac:dyDescent="0.25">
      <c r="A359" s="3"/>
      <c r="B359" s="3"/>
      <c r="C359" s="34"/>
      <c r="D359" s="103" t="s">
        <v>332</v>
      </c>
      <c r="E359" s="104">
        <v>5000000</v>
      </c>
      <c r="F359" s="105" t="s">
        <v>2</v>
      </c>
    </row>
    <row r="360" spans="1:6" ht="29.25" customHeight="1" x14ac:dyDescent="0.25">
      <c r="A360" s="3">
        <v>3</v>
      </c>
      <c r="B360" s="3">
        <v>2</v>
      </c>
      <c r="C360" s="34" t="s">
        <v>98</v>
      </c>
      <c r="D360" s="2" t="s">
        <v>59</v>
      </c>
      <c r="E360" s="35">
        <f>E361+E362</f>
        <v>5000000</v>
      </c>
      <c r="F360" s="3" t="s">
        <v>2</v>
      </c>
    </row>
    <row r="361" spans="1:6" x14ac:dyDescent="0.25">
      <c r="A361" s="3"/>
      <c r="B361" s="3"/>
      <c r="C361" s="34"/>
      <c r="D361" s="43" t="s">
        <v>333</v>
      </c>
      <c r="E361" s="109">
        <v>3500000</v>
      </c>
      <c r="F361" s="36" t="s">
        <v>2</v>
      </c>
    </row>
    <row r="362" spans="1:6" ht="18.75" customHeight="1" x14ac:dyDescent="0.25">
      <c r="A362" s="3"/>
      <c r="B362" s="3"/>
      <c r="C362" s="34"/>
      <c r="D362" s="43" t="s">
        <v>333</v>
      </c>
      <c r="E362" s="109">
        <v>1500000</v>
      </c>
      <c r="F362" s="36" t="s">
        <v>429</v>
      </c>
    </row>
    <row r="363" spans="1:6" hidden="1" x14ac:dyDescent="0.25">
      <c r="A363" s="3"/>
      <c r="B363" s="3"/>
      <c r="C363" s="34"/>
      <c r="D363" s="2"/>
      <c r="E363" s="109"/>
      <c r="F363" s="97"/>
    </row>
    <row r="364" spans="1:6" ht="30" hidden="1" x14ac:dyDescent="0.25">
      <c r="A364" s="5">
        <v>3</v>
      </c>
      <c r="B364" s="5">
        <v>2</v>
      </c>
      <c r="C364" s="53" t="s">
        <v>122</v>
      </c>
      <c r="D364" s="12" t="s">
        <v>334</v>
      </c>
      <c r="E364" s="75"/>
      <c r="F364" s="46"/>
    </row>
    <row r="365" spans="1:6" ht="45" hidden="1" x14ac:dyDescent="0.25">
      <c r="A365" s="5">
        <v>3</v>
      </c>
      <c r="B365" s="5">
        <v>2</v>
      </c>
      <c r="C365" s="53" t="s">
        <v>98</v>
      </c>
      <c r="D365" s="12" t="s">
        <v>335</v>
      </c>
      <c r="E365" s="75"/>
      <c r="F365" s="46"/>
    </row>
    <row r="366" spans="1:6" hidden="1" x14ac:dyDescent="0.25">
      <c r="A366" s="5"/>
      <c r="B366" s="5"/>
      <c r="C366" s="53"/>
      <c r="D366" s="4" t="s">
        <v>336</v>
      </c>
      <c r="E366" s="124">
        <v>0</v>
      </c>
      <c r="F366" s="46" t="s">
        <v>4</v>
      </c>
    </row>
    <row r="367" spans="1:6" hidden="1" x14ac:dyDescent="0.25">
      <c r="A367" s="5"/>
      <c r="B367" s="5"/>
      <c r="C367" s="53"/>
      <c r="D367" s="4" t="s">
        <v>337</v>
      </c>
      <c r="E367" s="124">
        <v>0</v>
      </c>
      <c r="F367" s="46" t="s">
        <v>338</v>
      </c>
    </row>
    <row r="368" spans="1:6" hidden="1" x14ac:dyDescent="0.25">
      <c r="A368" s="5"/>
      <c r="B368" s="5"/>
      <c r="C368" s="53"/>
      <c r="D368" s="4" t="s">
        <v>339</v>
      </c>
      <c r="E368" s="124">
        <v>0</v>
      </c>
      <c r="F368" s="46" t="s">
        <v>4</v>
      </c>
    </row>
    <row r="369" spans="1:6" ht="30" hidden="1" x14ac:dyDescent="0.25">
      <c r="A369" s="3">
        <v>3</v>
      </c>
      <c r="B369" s="3">
        <v>2</v>
      </c>
      <c r="C369" s="34" t="s">
        <v>122</v>
      </c>
      <c r="D369" s="2" t="s">
        <v>340</v>
      </c>
      <c r="E369" s="109">
        <v>0</v>
      </c>
      <c r="F369" s="97" t="s">
        <v>4</v>
      </c>
    </row>
    <row r="370" spans="1:6" hidden="1" x14ac:dyDescent="0.25">
      <c r="A370" s="5"/>
      <c r="B370" s="5"/>
      <c r="C370" s="53"/>
      <c r="D370" s="17" t="s">
        <v>341</v>
      </c>
      <c r="E370" s="124">
        <v>0</v>
      </c>
      <c r="F370" s="46" t="s">
        <v>4</v>
      </c>
    </row>
    <row r="371" spans="1:6" hidden="1" x14ac:dyDescent="0.25">
      <c r="A371" s="5"/>
      <c r="B371" s="5"/>
      <c r="C371" s="53"/>
      <c r="D371" s="2" t="s">
        <v>342</v>
      </c>
      <c r="E371" s="109">
        <v>0</v>
      </c>
      <c r="F371" s="97" t="s">
        <v>4</v>
      </c>
    </row>
    <row r="372" spans="1:6" x14ac:dyDescent="0.25">
      <c r="A372" s="125">
        <v>3</v>
      </c>
      <c r="B372" s="125">
        <v>3</v>
      </c>
      <c r="C372" s="125"/>
      <c r="D372" s="16" t="s">
        <v>61</v>
      </c>
      <c r="E372" s="126">
        <f>E373+E377+E378+E379+E380+E382</f>
        <v>12500000</v>
      </c>
      <c r="F372" s="125"/>
    </row>
    <row r="373" spans="1:6" ht="30" customHeight="1" x14ac:dyDescent="0.25">
      <c r="A373" s="3">
        <v>3</v>
      </c>
      <c r="B373" s="3">
        <v>3</v>
      </c>
      <c r="C373" s="34" t="s">
        <v>85</v>
      </c>
      <c r="D373" s="2" t="s">
        <v>62</v>
      </c>
      <c r="E373" s="35">
        <f>SUM(E374:E376)</f>
        <v>12500000</v>
      </c>
      <c r="F373" s="3" t="s">
        <v>2</v>
      </c>
    </row>
    <row r="374" spans="1:6" ht="18.75" customHeight="1" x14ac:dyDescent="0.25">
      <c r="A374" s="3"/>
      <c r="B374" s="3"/>
      <c r="C374" s="34"/>
      <c r="D374" s="43" t="s">
        <v>343</v>
      </c>
      <c r="E374" s="37">
        <v>2500000</v>
      </c>
      <c r="F374" s="36" t="s">
        <v>429</v>
      </c>
    </row>
    <row r="375" spans="1:6" ht="14.25" customHeight="1" x14ac:dyDescent="0.25">
      <c r="A375" s="3"/>
      <c r="B375" s="3"/>
      <c r="C375" s="34"/>
      <c r="D375" s="43" t="s">
        <v>344</v>
      </c>
      <c r="E375" s="37">
        <v>5000000</v>
      </c>
      <c r="F375" s="36" t="s">
        <v>2</v>
      </c>
    </row>
    <row r="376" spans="1:6" ht="18" customHeight="1" x14ac:dyDescent="0.25">
      <c r="A376" s="3"/>
      <c r="B376" s="3"/>
      <c r="C376" s="34"/>
      <c r="D376" s="43" t="s">
        <v>414</v>
      </c>
      <c r="E376" s="37">
        <v>5000000</v>
      </c>
      <c r="F376" s="36" t="s">
        <v>2</v>
      </c>
    </row>
    <row r="377" spans="1:6" hidden="1" x14ac:dyDescent="0.25">
      <c r="A377" s="5">
        <v>3</v>
      </c>
      <c r="B377" s="5">
        <v>3</v>
      </c>
      <c r="C377" s="53" t="s">
        <v>89</v>
      </c>
      <c r="D377" s="12" t="s">
        <v>345</v>
      </c>
      <c r="E377" s="75"/>
      <c r="F377" s="46"/>
    </row>
    <row r="378" spans="1:6" ht="30" hidden="1" x14ac:dyDescent="0.25">
      <c r="A378" s="5">
        <v>3</v>
      </c>
      <c r="B378" s="5">
        <v>3</v>
      </c>
      <c r="C378" s="53" t="s">
        <v>98</v>
      </c>
      <c r="D378" s="12" t="s">
        <v>346</v>
      </c>
      <c r="E378" s="75"/>
      <c r="F378" s="46"/>
    </row>
    <row r="379" spans="1:6" ht="30" hidden="1" x14ac:dyDescent="0.25">
      <c r="A379" s="5">
        <v>3</v>
      </c>
      <c r="B379" s="5">
        <v>3</v>
      </c>
      <c r="C379" s="53" t="s">
        <v>109</v>
      </c>
      <c r="D379" s="12" t="s">
        <v>347</v>
      </c>
      <c r="E379" s="75"/>
      <c r="F379" s="46"/>
    </row>
    <row r="380" spans="1:6" ht="30" hidden="1" x14ac:dyDescent="0.25">
      <c r="A380" s="3">
        <v>3</v>
      </c>
      <c r="B380" s="3">
        <v>3</v>
      </c>
      <c r="C380" s="34" t="s">
        <v>122</v>
      </c>
      <c r="D380" s="2" t="s">
        <v>348</v>
      </c>
      <c r="E380" s="35">
        <f>E381</f>
        <v>0</v>
      </c>
      <c r="F380" s="3" t="s">
        <v>1</v>
      </c>
    </row>
    <row r="381" spans="1:6" hidden="1" x14ac:dyDescent="0.25">
      <c r="A381" s="5"/>
      <c r="B381" s="5"/>
      <c r="C381" s="53"/>
      <c r="D381" s="71" t="s">
        <v>349</v>
      </c>
      <c r="E381" s="50">
        <v>0</v>
      </c>
      <c r="F381" s="42" t="s">
        <v>1</v>
      </c>
    </row>
    <row r="382" spans="1:6" hidden="1" x14ac:dyDescent="0.25">
      <c r="A382" s="3">
        <v>3</v>
      </c>
      <c r="B382" s="3">
        <v>3</v>
      </c>
      <c r="C382" s="34" t="s">
        <v>125</v>
      </c>
      <c r="D382" s="2" t="s">
        <v>350</v>
      </c>
      <c r="E382" s="35">
        <f>SUM(E383:E383)</f>
        <v>0</v>
      </c>
      <c r="F382" s="3" t="s">
        <v>1</v>
      </c>
    </row>
    <row r="383" spans="1:6" hidden="1" x14ac:dyDescent="0.25">
      <c r="A383" s="3"/>
      <c r="B383" s="3"/>
      <c r="C383" s="34"/>
      <c r="D383" s="43" t="s">
        <v>351</v>
      </c>
      <c r="E383" s="37">
        <v>0</v>
      </c>
      <c r="F383" s="36" t="s">
        <v>1</v>
      </c>
    </row>
    <row r="384" spans="1:6" x14ac:dyDescent="0.25">
      <c r="A384" s="125">
        <v>3</v>
      </c>
      <c r="B384" s="125">
        <v>4</v>
      </c>
      <c r="C384" s="125"/>
      <c r="D384" s="16" t="s">
        <v>63</v>
      </c>
      <c r="E384" s="126">
        <f>E385+E386+E389</f>
        <v>27000000</v>
      </c>
      <c r="F384" s="125"/>
    </row>
    <row r="385" spans="1:9" ht="16.5" hidden="1" customHeight="1" x14ac:dyDescent="0.25">
      <c r="A385" s="5">
        <v>3</v>
      </c>
      <c r="B385" s="5">
        <v>4</v>
      </c>
      <c r="C385" s="53" t="s">
        <v>85</v>
      </c>
      <c r="D385" s="12" t="s">
        <v>352</v>
      </c>
      <c r="E385" s="54"/>
      <c r="F385" s="46"/>
    </row>
    <row r="386" spans="1:9" s="188" customFormat="1" x14ac:dyDescent="0.25">
      <c r="A386" s="3">
        <v>3</v>
      </c>
      <c r="B386" s="3">
        <v>4</v>
      </c>
      <c r="C386" s="132" t="s">
        <v>89</v>
      </c>
      <c r="D386" s="2" t="s">
        <v>64</v>
      </c>
      <c r="E386" s="35">
        <f>SUM(E387:E388)</f>
        <v>10000000</v>
      </c>
      <c r="F386" s="3" t="s">
        <v>2</v>
      </c>
    </row>
    <row r="387" spans="1:9" ht="14.25" hidden="1" customHeight="1" x14ac:dyDescent="0.25">
      <c r="A387" s="5"/>
      <c r="B387" s="5"/>
      <c r="C387" s="47"/>
      <c r="D387" s="71" t="s">
        <v>353</v>
      </c>
      <c r="E387" s="50">
        <v>0</v>
      </c>
      <c r="F387" s="42" t="s">
        <v>0</v>
      </c>
    </row>
    <row r="388" spans="1:9" ht="11.25" customHeight="1" x14ac:dyDescent="0.25">
      <c r="A388" s="5"/>
      <c r="B388" s="5"/>
      <c r="C388" s="47"/>
      <c r="D388" s="71" t="s">
        <v>353</v>
      </c>
      <c r="E388" s="50">
        <v>10000000</v>
      </c>
      <c r="F388" s="42" t="s">
        <v>2</v>
      </c>
    </row>
    <row r="389" spans="1:9" x14ac:dyDescent="0.25">
      <c r="A389" s="5">
        <v>3</v>
      </c>
      <c r="B389" s="5">
        <v>4</v>
      </c>
      <c r="C389" s="53" t="s">
        <v>98</v>
      </c>
      <c r="D389" s="127" t="s">
        <v>65</v>
      </c>
      <c r="E389" s="54">
        <f>SUM(E390:E391)</f>
        <v>17000000</v>
      </c>
      <c r="F389" s="5"/>
    </row>
    <row r="390" spans="1:9" x14ac:dyDescent="0.25">
      <c r="A390" s="5"/>
      <c r="B390" s="5"/>
      <c r="C390" s="47"/>
      <c r="D390" s="71" t="s">
        <v>354</v>
      </c>
      <c r="E390" s="50">
        <v>17000000</v>
      </c>
      <c r="F390" s="42" t="s">
        <v>1</v>
      </c>
    </row>
    <row r="391" spans="1:9" hidden="1" x14ac:dyDescent="0.25">
      <c r="A391" s="5"/>
      <c r="B391" s="5"/>
      <c r="C391" s="47"/>
      <c r="D391" s="71"/>
      <c r="E391" s="50">
        <v>0</v>
      </c>
      <c r="F391" s="42" t="s">
        <v>6</v>
      </c>
    </row>
    <row r="392" spans="1:9" x14ac:dyDescent="0.25">
      <c r="A392" s="128">
        <v>4</v>
      </c>
      <c r="B392" s="129"/>
      <c r="C392" s="129"/>
      <c r="D392" s="14" t="s">
        <v>66</v>
      </c>
      <c r="E392" s="130">
        <f>E393+E398+E411+E416+E424+E431+E435</f>
        <v>121000000</v>
      </c>
      <c r="F392" s="129"/>
    </row>
    <row r="393" spans="1:9" hidden="1" x14ac:dyDescent="0.25">
      <c r="A393" s="125">
        <v>4</v>
      </c>
      <c r="B393" s="125">
        <v>1</v>
      </c>
      <c r="C393" s="125"/>
      <c r="D393" s="16" t="s">
        <v>355</v>
      </c>
      <c r="E393" s="126">
        <f>E394+E396</f>
        <v>0</v>
      </c>
      <c r="F393" s="125" t="s">
        <v>3</v>
      </c>
    </row>
    <row r="394" spans="1:9" hidden="1" x14ac:dyDescent="0.25">
      <c r="A394" s="5">
        <v>4</v>
      </c>
      <c r="B394" s="5">
        <v>1</v>
      </c>
      <c r="C394" s="53" t="s">
        <v>122</v>
      </c>
      <c r="D394" s="12" t="s">
        <v>356</v>
      </c>
      <c r="E394" s="75">
        <v>0</v>
      </c>
      <c r="F394" s="46"/>
    </row>
    <row r="395" spans="1:9" hidden="1" x14ac:dyDescent="0.25">
      <c r="A395" s="5"/>
      <c r="B395" s="5"/>
      <c r="C395" s="53"/>
      <c r="D395" s="12"/>
      <c r="E395" s="75"/>
      <c r="F395" s="46"/>
    </row>
    <row r="396" spans="1:9" ht="30" hidden="1" x14ac:dyDescent="0.25">
      <c r="A396" s="3">
        <v>4</v>
      </c>
      <c r="B396" s="3">
        <v>1</v>
      </c>
      <c r="C396" s="34" t="s">
        <v>125</v>
      </c>
      <c r="D396" s="2" t="s">
        <v>357</v>
      </c>
      <c r="E396" s="109">
        <f>SUM(E397:E397)</f>
        <v>0</v>
      </c>
      <c r="F396" s="97"/>
    </row>
    <row r="397" spans="1:9" hidden="1" x14ac:dyDescent="0.25">
      <c r="A397" s="5"/>
      <c r="B397" s="5"/>
      <c r="C397" s="53"/>
      <c r="D397" s="12"/>
      <c r="E397" s="75"/>
      <c r="F397" s="46"/>
    </row>
    <row r="398" spans="1:9" x14ac:dyDescent="0.25">
      <c r="A398" s="125">
        <v>4</v>
      </c>
      <c r="B398" s="125">
        <v>2</v>
      </c>
      <c r="C398" s="131"/>
      <c r="D398" s="16" t="s">
        <v>67</v>
      </c>
      <c r="E398" s="126">
        <f>E399+E401+E405+E407</f>
        <v>111000000</v>
      </c>
      <c r="F398" s="125" t="s">
        <v>3</v>
      </c>
    </row>
    <row r="399" spans="1:9" ht="30" x14ac:dyDescent="0.25">
      <c r="A399" s="3">
        <v>4</v>
      </c>
      <c r="B399" s="97">
        <v>2</v>
      </c>
      <c r="C399" s="132" t="s">
        <v>85</v>
      </c>
      <c r="D399" s="107" t="s">
        <v>358</v>
      </c>
      <c r="E399" s="35">
        <f>E400</f>
        <v>56000000</v>
      </c>
      <c r="F399" s="76" t="s">
        <v>3</v>
      </c>
    </row>
    <row r="400" spans="1:9" x14ac:dyDescent="0.25">
      <c r="A400" s="5"/>
      <c r="B400" s="46"/>
      <c r="C400" s="47"/>
      <c r="D400" s="71" t="s">
        <v>501</v>
      </c>
      <c r="E400" s="40">
        <v>56000000</v>
      </c>
      <c r="F400" s="36" t="s">
        <v>3</v>
      </c>
      <c r="H400" s="173">
        <f>E398+E263</f>
        <v>251000000</v>
      </c>
      <c r="I400" s="173">
        <f>H400/M5*100</f>
        <v>22.494405524841081</v>
      </c>
    </row>
    <row r="401" spans="1:9" ht="30" x14ac:dyDescent="0.25">
      <c r="A401" s="3">
        <v>4</v>
      </c>
      <c r="B401" s="3">
        <v>2</v>
      </c>
      <c r="C401" s="34" t="s">
        <v>89</v>
      </c>
      <c r="D401" s="2" t="s">
        <v>68</v>
      </c>
      <c r="E401" s="35">
        <f>E402</f>
        <v>55000000</v>
      </c>
      <c r="F401" s="76" t="s">
        <v>3</v>
      </c>
      <c r="H401" s="224">
        <f>M5*20%</f>
        <v>223166600</v>
      </c>
    </row>
    <row r="402" spans="1:9" x14ac:dyDescent="0.25">
      <c r="A402" s="3"/>
      <c r="B402" s="97"/>
      <c r="C402" s="132"/>
      <c r="D402" s="43" t="s">
        <v>465</v>
      </c>
      <c r="E402" s="51">
        <v>55000000</v>
      </c>
      <c r="F402" s="42" t="s">
        <v>3</v>
      </c>
      <c r="H402" s="173">
        <f>E402/5000000</f>
        <v>11</v>
      </c>
    </row>
    <row r="403" spans="1:9" hidden="1" x14ac:dyDescent="0.25">
      <c r="A403" s="133"/>
      <c r="B403" s="134"/>
      <c r="C403" s="135"/>
      <c r="D403" s="136" t="s">
        <v>360</v>
      </c>
      <c r="E403" s="137">
        <v>0</v>
      </c>
      <c r="F403" s="138"/>
    </row>
    <row r="404" spans="1:9" hidden="1" x14ac:dyDescent="0.25">
      <c r="A404" s="5"/>
      <c r="B404" s="46"/>
      <c r="C404" s="47"/>
      <c r="D404" s="71" t="s">
        <v>361</v>
      </c>
      <c r="E404" s="50">
        <v>0</v>
      </c>
      <c r="F404" s="42"/>
    </row>
    <row r="405" spans="1:9" hidden="1" x14ac:dyDescent="0.25">
      <c r="A405" s="3">
        <v>4</v>
      </c>
      <c r="B405" s="97">
        <v>2</v>
      </c>
      <c r="C405" s="132" t="s">
        <v>98</v>
      </c>
      <c r="D405" s="107" t="s">
        <v>362</v>
      </c>
      <c r="E405" s="35">
        <f>E406</f>
        <v>0</v>
      </c>
      <c r="F405" s="3" t="s">
        <v>3</v>
      </c>
    </row>
    <row r="406" spans="1:9" hidden="1" x14ac:dyDescent="0.25">
      <c r="A406" s="5"/>
      <c r="B406" s="46"/>
      <c r="C406" s="47"/>
      <c r="D406" s="71" t="s">
        <v>363</v>
      </c>
      <c r="E406" s="50">
        <v>0</v>
      </c>
      <c r="F406" s="42" t="s">
        <v>3</v>
      </c>
    </row>
    <row r="407" spans="1:9" ht="30" hidden="1" x14ac:dyDescent="0.25">
      <c r="A407" s="3">
        <v>4</v>
      </c>
      <c r="B407" s="97">
        <v>2</v>
      </c>
      <c r="C407" s="132" t="s">
        <v>122</v>
      </c>
      <c r="D407" s="107" t="s">
        <v>364</v>
      </c>
      <c r="E407" s="35">
        <f>SUM(E408:E410)</f>
        <v>0</v>
      </c>
      <c r="F407" s="76" t="s">
        <v>3</v>
      </c>
    </row>
    <row r="408" spans="1:9" hidden="1" x14ac:dyDescent="0.25">
      <c r="A408" s="5"/>
      <c r="B408" s="46"/>
      <c r="C408" s="47"/>
      <c r="D408" s="71" t="s">
        <v>365</v>
      </c>
      <c r="E408" s="50">
        <v>0</v>
      </c>
      <c r="F408" s="42"/>
    </row>
    <row r="409" spans="1:9" hidden="1" x14ac:dyDescent="0.25">
      <c r="A409" s="5"/>
      <c r="B409" s="46"/>
      <c r="C409" s="47"/>
      <c r="D409" s="71"/>
      <c r="E409" s="50"/>
      <c r="F409" s="42"/>
    </row>
    <row r="410" spans="1:9" hidden="1" x14ac:dyDescent="0.25">
      <c r="A410" s="5"/>
      <c r="B410" s="46"/>
      <c r="C410" s="47"/>
      <c r="D410" s="71"/>
      <c r="E410" s="50"/>
      <c r="F410" s="42"/>
    </row>
    <row r="411" spans="1:9" x14ac:dyDescent="0.25">
      <c r="A411" s="125">
        <v>4</v>
      </c>
      <c r="B411" s="125">
        <v>3</v>
      </c>
      <c r="C411" s="125"/>
      <c r="D411" s="16" t="s">
        <v>69</v>
      </c>
      <c r="E411" s="126">
        <f>SUM(E412:E415)</f>
        <v>5000000</v>
      </c>
      <c r="F411" s="125" t="s">
        <v>0</v>
      </c>
    </row>
    <row r="412" spans="1:9" x14ac:dyDescent="0.25">
      <c r="A412" s="5">
        <v>4</v>
      </c>
      <c r="B412" s="5">
        <v>3</v>
      </c>
      <c r="C412" s="47" t="s">
        <v>85</v>
      </c>
      <c r="D412" s="17" t="s">
        <v>70</v>
      </c>
      <c r="E412" s="91">
        <v>2000000</v>
      </c>
      <c r="F412" s="46" t="s">
        <v>0</v>
      </c>
    </row>
    <row r="413" spans="1:9" x14ac:dyDescent="0.25">
      <c r="A413" s="5">
        <v>4</v>
      </c>
      <c r="B413" s="5">
        <v>3</v>
      </c>
      <c r="C413" s="47" t="s">
        <v>89</v>
      </c>
      <c r="D413" s="17" t="s">
        <v>71</v>
      </c>
      <c r="E413" s="91">
        <v>1000000</v>
      </c>
      <c r="F413" s="46" t="s">
        <v>0</v>
      </c>
    </row>
    <row r="414" spans="1:9" x14ac:dyDescent="0.25">
      <c r="A414" s="5"/>
      <c r="B414" s="5"/>
      <c r="C414" s="47"/>
      <c r="D414" s="17" t="s">
        <v>71</v>
      </c>
      <c r="E414" s="91">
        <v>1000000</v>
      </c>
      <c r="F414" s="46" t="s">
        <v>1</v>
      </c>
    </row>
    <row r="415" spans="1:9" x14ac:dyDescent="0.25">
      <c r="A415" s="5">
        <v>4</v>
      </c>
      <c r="B415" s="5">
        <v>3</v>
      </c>
      <c r="C415" s="47" t="s">
        <v>98</v>
      </c>
      <c r="D415" s="17" t="s">
        <v>72</v>
      </c>
      <c r="E415" s="91">
        <v>1000000</v>
      </c>
      <c r="F415" s="46" t="s">
        <v>1</v>
      </c>
      <c r="I415">
        <v>963625000</v>
      </c>
    </row>
    <row r="416" spans="1:9" ht="30" x14ac:dyDescent="0.25">
      <c r="A416" s="121">
        <v>4</v>
      </c>
      <c r="B416" s="121">
        <v>4</v>
      </c>
      <c r="C416" s="139"/>
      <c r="D416" s="140" t="s">
        <v>73</v>
      </c>
      <c r="E416" s="122">
        <f>E417+E420+E422</f>
        <v>5000000</v>
      </c>
      <c r="F416" s="121" t="s">
        <v>3</v>
      </c>
      <c r="I416">
        <f>I415*10%</f>
        <v>96362500</v>
      </c>
    </row>
    <row r="417" spans="1:9" x14ac:dyDescent="0.25">
      <c r="A417" s="5">
        <v>4</v>
      </c>
      <c r="B417" s="5">
        <v>4</v>
      </c>
      <c r="C417" s="47" t="s">
        <v>85</v>
      </c>
      <c r="D417" s="12" t="s">
        <v>74</v>
      </c>
      <c r="E417" s="54">
        <f>SUM(E418:E419)</f>
        <v>5000000</v>
      </c>
      <c r="F417" s="46" t="s">
        <v>3</v>
      </c>
      <c r="H417" s="173">
        <f>E444-1878630.75</f>
        <v>2253738.5</v>
      </c>
      <c r="I417">
        <f>I416/3600000</f>
        <v>26.767361111111111</v>
      </c>
    </row>
    <row r="418" spans="1:9" x14ac:dyDescent="0.25">
      <c r="A418" s="5"/>
      <c r="B418" s="5"/>
      <c r="C418" s="47"/>
      <c r="D418" s="71" t="s">
        <v>366</v>
      </c>
      <c r="E418" s="50">
        <v>5000000</v>
      </c>
      <c r="F418" s="42" t="s">
        <v>3</v>
      </c>
      <c r="I418">
        <f>30*3600000</f>
        <v>108000000</v>
      </c>
    </row>
    <row r="419" spans="1:9" hidden="1" x14ac:dyDescent="0.25">
      <c r="A419" s="5"/>
      <c r="B419" s="5"/>
      <c r="C419" s="47"/>
      <c r="D419" s="71"/>
      <c r="E419" s="50"/>
      <c r="F419" s="42"/>
    </row>
    <row r="420" spans="1:9" hidden="1" x14ac:dyDescent="0.25">
      <c r="A420" s="5">
        <v>4</v>
      </c>
      <c r="B420" s="5">
        <v>4</v>
      </c>
      <c r="C420" s="47" t="s">
        <v>89</v>
      </c>
      <c r="D420" s="12" t="s">
        <v>367</v>
      </c>
      <c r="E420" s="54">
        <f>E421</f>
        <v>0</v>
      </c>
      <c r="F420" s="46" t="s">
        <v>3</v>
      </c>
    </row>
    <row r="421" spans="1:9" hidden="1" x14ac:dyDescent="0.25">
      <c r="A421" s="5"/>
      <c r="B421" s="5"/>
      <c r="C421" s="47"/>
      <c r="D421" s="71"/>
      <c r="E421" s="50"/>
      <c r="F421" s="42"/>
    </row>
    <row r="422" spans="1:9" hidden="1" x14ac:dyDescent="0.25">
      <c r="A422" s="5">
        <v>4</v>
      </c>
      <c r="B422" s="5">
        <v>4</v>
      </c>
      <c r="C422" s="47" t="s">
        <v>98</v>
      </c>
      <c r="D422" s="12" t="s">
        <v>368</v>
      </c>
      <c r="E422" s="54">
        <f>SUM(E423)</f>
        <v>0</v>
      </c>
      <c r="F422" s="46" t="s">
        <v>3</v>
      </c>
    </row>
    <row r="423" spans="1:9" hidden="1" x14ac:dyDescent="0.25">
      <c r="A423" s="5"/>
      <c r="B423" s="5"/>
      <c r="C423" s="47"/>
      <c r="D423" s="12"/>
      <c r="E423" s="54"/>
      <c r="F423" s="46"/>
    </row>
    <row r="424" spans="1:9" hidden="1" x14ac:dyDescent="0.25">
      <c r="A424" s="125">
        <v>4</v>
      </c>
      <c r="B424" s="125">
        <v>5</v>
      </c>
      <c r="C424" s="125"/>
      <c r="D424" s="16" t="s">
        <v>369</v>
      </c>
      <c r="E424" s="126">
        <f>E425+E427+E429</f>
        <v>0</v>
      </c>
      <c r="F424" s="125" t="s">
        <v>3</v>
      </c>
    </row>
    <row r="425" spans="1:9" hidden="1" x14ac:dyDescent="0.25">
      <c r="A425" s="3">
        <v>4</v>
      </c>
      <c r="B425" s="3">
        <v>5</v>
      </c>
      <c r="C425" s="132" t="s">
        <v>85</v>
      </c>
      <c r="D425" s="2" t="s">
        <v>370</v>
      </c>
      <c r="E425" s="35">
        <f>E426</f>
        <v>0</v>
      </c>
      <c r="F425" s="97"/>
    </row>
    <row r="426" spans="1:9" hidden="1" x14ac:dyDescent="0.25">
      <c r="A426" s="5"/>
      <c r="B426" s="5"/>
      <c r="C426" s="47"/>
      <c r="D426" s="12"/>
      <c r="E426" s="54"/>
      <c r="F426" s="46"/>
    </row>
    <row r="427" spans="1:9" hidden="1" x14ac:dyDescent="0.25">
      <c r="A427" s="3">
        <v>4</v>
      </c>
      <c r="B427" s="3">
        <v>5</v>
      </c>
      <c r="C427" s="132" t="s">
        <v>89</v>
      </c>
      <c r="D427" s="2" t="s">
        <v>371</v>
      </c>
      <c r="E427" s="35">
        <f>E428</f>
        <v>0</v>
      </c>
      <c r="F427" s="97"/>
    </row>
    <row r="428" spans="1:9" hidden="1" x14ac:dyDescent="0.25">
      <c r="A428" s="3"/>
      <c r="B428" s="3"/>
      <c r="C428" s="132"/>
      <c r="D428" s="2"/>
      <c r="E428" s="35"/>
      <c r="F428" s="97"/>
    </row>
    <row r="429" spans="1:9" ht="30" hidden="1" x14ac:dyDescent="0.25">
      <c r="A429" s="3">
        <v>4</v>
      </c>
      <c r="B429" s="3">
        <v>5</v>
      </c>
      <c r="C429" s="132" t="s">
        <v>98</v>
      </c>
      <c r="D429" s="2" t="s">
        <v>372</v>
      </c>
      <c r="E429" s="35">
        <f>E430</f>
        <v>0</v>
      </c>
      <c r="F429" s="97"/>
    </row>
    <row r="430" spans="1:9" hidden="1" x14ac:dyDescent="0.25">
      <c r="A430" s="3"/>
      <c r="B430" s="3"/>
      <c r="C430" s="132"/>
      <c r="D430" s="2"/>
      <c r="E430" s="35"/>
      <c r="F430" s="97"/>
    </row>
    <row r="431" spans="1:9" hidden="1" x14ac:dyDescent="0.25">
      <c r="A431" s="125">
        <v>4</v>
      </c>
      <c r="B431" s="125">
        <v>6</v>
      </c>
      <c r="C431" s="125"/>
      <c r="D431" s="16" t="s">
        <v>373</v>
      </c>
      <c r="E431" s="126">
        <f>E432</f>
        <v>0</v>
      </c>
      <c r="F431" s="125" t="s">
        <v>3</v>
      </c>
    </row>
    <row r="432" spans="1:9" hidden="1" x14ac:dyDescent="0.25">
      <c r="A432" s="3">
        <v>4</v>
      </c>
      <c r="B432" s="3">
        <v>6</v>
      </c>
      <c r="C432" s="132" t="s">
        <v>89</v>
      </c>
      <c r="D432" s="2" t="s">
        <v>374</v>
      </c>
      <c r="E432" s="109">
        <f>SUM(E433:E434)</f>
        <v>0</v>
      </c>
      <c r="F432" s="97"/>
    </row>
    <row r="433" spans="1:13" hidden="1" x14ac:dyDescent="0.25">
      <c r="A433" s="5"/>
      <c r="B433" s="5"/>
      <c r="C433" s="46"/>
      <c r="D433" s="12"/>
      <c r="E433" s="75"/>
      <c r="F433" s="46"/>
    </row>
    <row r="434" spans="1:13" hidden="1" x14ac:dyDescent="0.25">
      <c r="A434" s="5"/>
      <c r="B434" s="5"/>
      <c r="C434" s="47"/>
      <c r="D434" s="71"/>
      <c r="E434" s="50"/>
      <c r="F434" s="42"/>
    </row>
    <row r="435" spans="1:13" hidden="1" x14ac:dyDescent="0.25">
      <c r="A435" s="125">
        <v>4</v>
      </c>
      <c r="B435" s="125">
        <v>7</v>
      </c>
      <c r="C435" s="125"/>
      <c r="D435" s="16" t="s">
        <v>375</v>
      </c>
      <c r="E435" s="126">
        <f>E436+E439</f>
        <v>0</v>
      </c>
      <c r="F435" s="125"/>
    </row>
    <row r="436" spans="1:13" ht="30" hidden="1" x14ac:dyDescent="0.25">
      <c r="A436" s="3">
        <v>4</v>
      </c>
      <c r="B436" s="3">
        <v>7</v>
      </c>
      <c r="C436" s="34" t="s">
        <v>89</v>
      </c>
      <c r="D436" s="2" t="s">
        <v>376</v>
      </c>
      <c r="E436" s="35">
        <f>SUM(E437:E438)</f>
        <v>0</v>
      </c>
      <c r="F436" s="3" t="s">
        <v>3</v>
      </c>
    </row>
    <row r="437" spans="1:13" hidden="1" x14ac:dyDescent="0.25">
      <c r="A437" s="46"/>
      <c r="B437" s="46"/>
      <c r="C437" s="46"/>
      <c r="D437" s="71" t="s">
        <v>377</v>
      </c>
      <c r="E437" s="50">
        <v>0</v>
      </c>
      <c r="F437" s="42" t="s">
        <v>3</v>
      </c>
    </row>
    <row r="438" spans="1:13" hidden="1" x14ac:dyDescent="0.25">
      <c r="A438" s="46"/>
      <c r="B438" s="46"/>
      <c r="C438" s="46"/>
      <c r="D438" s="71"/>
      <c r="E438" s="50"/>
      <c r="F438" s="42"/>
    </row>
    <row r="439" spans="1:13" ht="30" hidden="1" x14ac:dyDescent="0.25">
      <c r="A439" s="3">
        <v>4</v>
      </c>
      <c r="B439" s="3">
        <v>7</v>
      </c>
      <c r="C439" s="34" t="s">
        <v>109</v>
      </c>
      <c r="D439" s="2" t="s">
        <v>378</v>
      </c>
      <c r="E439" s="35">
        <f>SUM(E440:E441)</f>
        <v>0</v>
      </c>
      <c r="F439" s="3" t="s">
        <v>3</v>
      </c>
    </row>
    <row r="440" spans="1:13" hidden="1" x14ac:dyDescent="0.25">
      <c r="A440" s="46"/>
      <c r="B440" s="46"/>
      <c r="C440" s="46"/>
      <c r="D440" s="71" t="s">
        <v>379</v>
      </c>
      <c r="E440" s="50">
        <v>0</v>
      </c>
      <c r="F440" s="42"/>
    </row>
    <row r="441" spans="1:13" hidden="1" x14ac:dyDescent="0.25">
      <c r="A441" s="46"/>
      <c r="B441" s="46"/>
      <c r="C441" s="46"/>
      <c r="D441" s="71"/>
      <c r="E441" s="50"/>
      <c r="F441" s="42"/>
    </row>
    <row r="442" spans="1:13" ht="27" x14ac:dyDescent="0.25">
      <c r="A442" s="141">
        <v>5</v>
      </c>
      <c r="B442" s="141"/>
      <c r="C442" s="141"/>
      <c r="D442" s="18" t="s">
        <v>75</v>
      </c>
      <c r="E442" s="142">
        <f>E443+E445+E447</f>
        <v>115732369.25</v>
      </c>
      <c r="F442" s="141"/>
      <c r="I442">
        <f>I418/I415*100</f>
        <v>11.207679335841226</v>
      </c>
    </row>
    <row r="443" spans="1:13" x14ac:dyDescent="0.25">
      <c r="A443" s="19">
        <v>5</v>
      </c>
      <c r="B443" s="19">
        <v>1</v>
      </c>
      <c r="C443" s="19"/>
      <c r="D443" s="19" t="s">
        <v>76</v>
      </c>
      <c r="E443" s="143">
        <f>E444</f>
        <v>4132369.25</v>
      </c>
      <c r="F443" s="19"/>
      <c r="H443" t="s">
        <v>466</v>
      </c>
      <c r="I443" s="164">
        <f>36*5000000</f>
        <v>180000000</v>
      </c>
    </row>
    <row r="444" spans="1:13" x14ac:dyDescent="0.25">
      <c r="A444" s="46">
        <v>5</v>
      </c>
      <c r="B444" s="46">
        <v>1</v>
      </c>
      <c r="C444" s="47" t="s">
        <v>380</v>
      </c>
      <c r="D444" s="46" t="s">
        <v>381</v>
      </c>
      <c r="E444" s="75">
        <v>4132369.25</v>
      </c>
      <c r="F444" s="46" t="s">
        <v>3</v>
      </c>
      <c r="H444" t="s">
        <v>467</v>
      </c>
      <c r="I444" s="164">
        <f>84*10000000</f>
        <v>840000000</v>
      </c>
    </row>
    <row r="445" spans="1:13" x14ac:dyDescent="0.25">
      <c r="A445" s="19">
        <v>5</v>
      </c>
      <c r="B445" s="19">
        <v>2</v>
      </c>
      <c r="C445" s="19"/>
      <c r="D445" s="19" t="s">
        <v>77</v>
      </c>
      <c r="E445" s="143">
        <f>E446</f>
        <v>0</v>
      </c>
      <c r="F445" s="19"/>
    </row>
    <row r="446" spans="1:13" x14ac:dyDescent="0.25">
      <c r="A446" s="46">
        <v>5</v>
      </c>
      <c r="B446" s="46">
        <v>2</v>
      </c>
      <c r="C446" s="47" t="s">
        <v>380</v>
      </c>
      <c r="D446" s="46" t="s">
        <v>382</v>
      </c>
      <c r="E446" s="75">
        <v>0</v>
      </c>
      <c r="F446" s="46" t="s">
        <v>9</v>
      </c>
    </row>
    <row r="447" spans="1:13" x14ac:dyDescent="0.25">
      <c r="A447" s="19">
        <v>5</v>
      </c>
      <c r="B447" s="19">
        <v>3</v>
      </c>
      <c r="C447" s="19"/>
      <c r="D447" s="19" t="s">
        <v>78</v>
      </c>
      <c r="E447" s="143">
        <f>E448</f>
        <v>111600000</v>
      </c>
      <c r="F447" s="19"/>
      <c r="J447" s="215" t="s">
        <v>491</v>
      </c>
      <c r="K447" s="215" t="s">
        <v>492</v>
      </c>
    </row>
    <row r="448" spans="1:13" x14ac:dyDescent="0.25">
      <c r="A448" s="46">
        <v>5</v>
      </c>
      <c r="B448" s="46">
        <v>3</v>
      </c>
      <c r="C448" s="47" t="s">
        <v>380</v>
      </c>
      <c r="D448" s="46" t="s">
        <v>383</v>
      </c>
      <c r="E448" s="75">
        <f>E449</f>
        <v>111600000</v>
      </c>
      <c r="F448" s="46" t="s">
        <v>3</v>
      </c>
      <c r="H448" s="219">
        <f>E449/M5*100</f>
        <v>10.001496639730139</v>
      </c>
      <c r="I448" t="s">
        <v>397</v>
      </c>
      <c r="J448" s="216">
        <f>M5*10%</f>
        <v>111583300</v>
      </c>
      <c r="K448" s="217">
        <f>J448/3600000</f>
        <v>30.995361111111112</v>
      </c>
      <c r="L448" s="164"/>
      <c r="M448" s="164"/>
    </row>
    <row r="449" spans="1:13" x14ac:dyDescent="0.25">
      <c r="A449" s="46"/>
      <c r="B449" s="46"/>
      <c r="C449" s="47"/>
      <c r="D449" s="55" t="s">
        <v>384</v>
      </c>
      <c r="E449" s="50">
        <v>111600000</v>
      </c>
      <c r="F449" s="42"/>
      <c r="H449" s="219">
        <f>E449/3600000</f>
        <v>31</v>
      </c>
      <c r="I449" t="s">
        <v>420</v>
      </c>
      <c r="J449" s="218"/>
      <c r="K449" s="218"/>
      <c r="L449" s="164"/>
      <c r="M449" s="164"/>
    </row>
    <row r="450" spans="1:13" x14ac:dyDescent="0.25">
      <c r="A450" s="144"/>
      <c r="B450" s="144"/>
      <c r="C450" s="144"/>
      <c r="D450" s="144" t="s">
        <v>385</v>
      </c>
      <c r="E450" s="145">
        <f>E451</f>
        <v>0</v>
      </c>
      <c r="F450" s="144"/>
      <c r="J450" s="218"/>
      <c r="K450" s="218"/>
      <c r="L450" s="164"/>
      <c r="M450" s="164"/>
    </row>
    <row r="451" spans="1:13" x14ac:dyDescent="0.25">
      <c r="A451" s="46"/>
      <c r="B451" s="46"/>
      <c r="C451" s="46"/>
      <c r="D451" s="46" t="s">
        <v>386</v>
      </c>
      <c r="E451" s="146">
        <v>0</v>
      </c>
      <c r="F451" s="46" t="s">
        <v>3</v>
      </c>
      <c r="H451" t="s">
        <v>482</v>
      </c>
      <c r="I451" s="164">
        <v>214995906.21000001</v>
      </c>
      <c r="J451" s="218"/>
      <c r="K451" s="218"/>
      <c r="L451" s="164"/>
      <c r="M451" s="164"/>
    </row>
    <row r="452" spans="1:13" x14ac:dyDescent="0.25">
      <c r="H452" t="s">
        <v>483</v>
      </c>
      <c r="I452" s="164">
        <v>214249589.21000001</v>
      </c>
      <c r="J452" s="218"/>
      <c r="K452" s="218"/>
      <c r="L452" s="164"/>
      <c r="M452" s="164"/>
    </row>
    <row r="453" spans="1:13" x14ac:dyDescent="0.25">
      <c r="H453" t="s">
        <v>401</v>
      </c>
      <c r="I453" s="164">
        <f>I451-I452</f>
        <v>746317</v>
      </c>
      <c r="J453" s="218"/>
      <c r="K453" s="218"/>
      <c r="L453" s="164"/>
      <c r="M453" s="164"/>
    </row>
    <row r="454" spans="1:13" x14ac:dyDescent="0.25">
      <c r="D454" s="192" t="s">
        <v>392</v>
      </c>
      <c r="E454" s="191">
        <f>E4+E156+E334+E392+E442</f>
        <v>2437901981.0599999</v>
      </c>
      <c r="I454" s="164"/>
      <c r="J454" s="164"/>
      <c r="K454" s="164"/>
      <c r="L454" s="164"/>
      <c r="M454" s="164"/>
    </row>
    <row r="455" spans="1:13" x14ac:dyDescent="0.25">
      <c r="D455" s="192" t="s">
        <v>422</v>
      </c>
      <c r="E455" s="191">
        <f>E454+E450</f>
        <v>2437901981.0599999</v>
      </c>
      <c r="H455" s="173">
        <f>E449/4</f>
        <v>27900000</v>
      </c>
      <c r="I455" s="164"/>
      <c r="J455" s="164"/>
      <c r="K455" s="164"/>
      <c r="L455" s="164"/>
      <c r="M455" s="164"/>
    </row>
    <row r="456" spans="1:13" x14ac:dyDescent="0.25">
      <c r="I456" s="164"/>
    </row>
    <row r="457" spans="1:13" x14ac:dyDescent="0.25">
      <c r="I457" s="164"/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7716535433070868" header="0.31496062992125984" footer="0.31496062992125984"/>
  <pageSetup paperSize="14" scale="8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58"/>
  <sheetViews>
    <sheetView zoomScaleNormal="100" workbookViewId="0">
      <selection activeCell="H454" sqref="H454"/>
    </sheetView>
  </sheetViews>
  <sheetFormatPr defaultRowHeight="15" x14ac:dyDescent="0.25"/>
  <cols>
    <col min="1" max="1" width="3.5703125" customWidth="1"/>
    <col min="2" max="2" width="2" bestFit="1" customWidth="1"/>
    <col min="3" max="3" width="3.5703125" bestFit="1" customWidth="1"/>
    <col min="4" max="4" width="58.7109375" customWidth="1"/>
    <col min="5" max="5" width="16.5703125" customWidth="1"/>
    <col min="6" max="6" width="14.85546875" customWidth="1"/>
    <col min="7" max="7" width="15.28515625" bestFit="1" customWidth="1"/>
    <col min="8" max="8" width="16.28515625" bestFit="1" customWidth="1"/>
    <col min="9" max="9" width="17.140625" customWidth="1"/>
    <col min="10" max="10" width="14.85546875" bestFit="1" customWidth="1"/>
    <col min="11" max="11" width="16.140625" customWidth="1"/>
    <col min="12" max="12" width="15.85546875" customWidth="1"/>
    <col min="13" max="13" width="16.42578125" bestFit="1" customWidth="1"/>
    <col min="14" max="14" width="13.140625" customWidth="1"/>
    <col min="15" max="15" width="14" customWidth="1"/>
    <col min="16" max="16" width="12.42578125" customWidth="1"/>
    <col min="17" max="17" width="16.85546875" bestFit="1" customWidth="1"/>
  </cols>
  <sheetData>
    <row r="1" spans="1:19" ht="9" customHeight="1" x14ac:dyDescent="0.25">
      <c r="A1" s="377" t="s">
        <v>510</v>
      </c>
      <c r="B1" s="377"/>
      <c r="C1" s="377"/>
      <c r="D1" s="377"/>
      <c r="E1" s="377"/>
      <c r="F1" s="377"/>
    </row>
    <row r="2" spans="1:19" ht="8.25" customHeight="1" x14ac:dyDescent="0.25">
      <c r="A2" s="378"/>
      <c r="B2" s="378"/>
      <c r="C2" s="378"/>
      <c r="D2" s="378"/>
      <c r="E2" s="378"/>
      <c r="F2" s="378"/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240" t="s">
        <v>80</v>
      </c>
      <c r="H3" s="173"/>
    </row>
    <row r="4" spans="1:19" x14ac:dyDescent="0.25">
      <c r="A4" s="7">
        <v>1</v>
      </c>
      <c r="B4" s="7"/>
      <c r="C4" s="7"/>
      <c r="D4" s="7" t="s">
        <v>21</v>
      </c>
      <c r="E4" s="31">
        <f>E5+E78+E98+E118+E148</f>
        <v>1134109111.8099999</v>
      </c>
      <c r="F4" s="32"/>
      <c r="H4" s="147" t="s">
        <v>387</v>
      </c>
      <c r="I4" s="148" t="s">
        <v>0</v>
      </c>
      <c r="J4" s="148" t="s">
        <v>1</v>
      </c>
      <c r="K4" s="148" t="s">
        <v>2</v>
      </c>
      <c r="L4" s="149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2254970800</v>
      </c>
      <c r="S4" s="150" t="s">
        <v>390</v>
      </c>
    </row>
    <row r="5" spans="1:19" ht="32.25" customHeight="1" x14ac:dyDescent="0.25">
      <c r="A5" s="8">
        <v>1</v>
      </c>
      <c r="B5" s="8">
        <v>1</v>
      </c>
      <c r="C5" s="8"/>
      <c r="D5" s="6" t="s">
        <v>20</v>
      </c>
      <c r="E5" s="33">
        <f>E6+E11+E19+E33+E52+E55+E62+E73+E75</f>
        <v>749408502.99000001</v>
      </c>
      <c r="F5" s="8"/>
      <c r="H5" s="147" t="s">
        <v>391</v>
      </c>
      <c r="I5" s="151">
        <f>PAGU!B11</f>
        <v>600882100</v>
      </c>
      <c r="J5" s="151">
        <f>PAGU!C28</f>
        <v>172811800</v>
      </c>
      <c r="K5" s="151">
        <f>PAGU!E28</f>
        <v>59043900</v>
      </c>
      <c r="L5" s="151">
        <v>38000000</v>
      </c>
      <c r="M5" s="151">
        <v>1115833000</v>
      </c>
      <c r="N5" s="152">
        <v>5000000</v>
      </c>
      <c r="O5" s="152">
        <v>56400000</v>
      </c>
      <c r="P5" s="153">
        <v>250000000</v>
      </c>
      <c r="Q5" s="154">
        <f>SUM(I5:P5)</f>
        <v>2297970800</v>
      </c>
      <c r="S5">
        <v>92931398</v>
      </c>
    </row>
    <row r="6" spans="1:19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72556000</v>
      </c>
      <c r="F6" s="3" t="s">
        <v>0</v>
      </c>
      <c r="H6" s="147" t="s">
        <v>392</v>
      </c>
      <c r="I6" s="151">
        <f>E7+E8+E12+E13+E15+E16+E17+E19+E34+E36+E40+E50+E51+E53+E61+E89+E90+E119+E133+E141+E184+E321+E322+E413+E414</f>
        <v>611510617.13</v>
      </c>
      <c r="J6" s="151">
        <f>E44+E49+E79+E86+E97+E99+E110+E111+E123+E127+E128+E129+E138+E149+E152+E168+E343+E344+E356+E359+E381+E383+E390+E415+E416</f>
        <v>175939800</v>
      </c>
      <c r="K6" s="151">
        <f>E47+E109+E136+E342+E360+E361++E374+E389</f>
        <v>62788500</v>
      </c>
      <c r="L6" s="151">
        <f>E9+E14+E18+E37+E43+E45+E46+E48+E54+E55-E61+E88+E91+E170+E134</f>
        <v>44360808.82</v>
      </c>
      <c r="M6" s="151">
        <f>E62+E107+E158+E175+E182+E185+E186+E187+E188+E193+E196+E200+E207+E240+E242+E245+E264+E275+E280+E292+E296+E320+E332+E400+E402+E418+E445+E449</f>
        <v>1196954369.25</v>
      </c>
      <c r="N6" s="151">
        <f>E38+E41+E42</f>
        <v>7697885.8600000003</v>
      </c>
      <c r="O6" s="151">
        <f>E73+E75</f>
        <v>56400000</v>
      </c>
      <c r="P6" s="155">
        <f>E96</f>
        <v>250000000</v>
      </c>
      <c r="Q6" s="156">
        <f>SUM(I6:P6)</f>
        <v>2405651981.0599999</v>
      </c>
      <c r="R6" s="79"/>
      <c r="S6" s="157">
        <f>S5+Q7</f>
        <v>-14749783.059999943</v>
      </c>
    </row>
    <row r="7" spans="1:19" x14ac:dyDescent="0.25">
      <c r="A7" s="3"/>
      <c r="B7" s="3"/>
      <c r="C7" s="34"/>
      <c r="D7" s="36" t="s">
        <v>455</v>
      </c>
      <c r="E7" s="37">
        <v>48456000</v>
      </c>
      <c r="F7" s="37"/>
      <c r="H7" s="147"/>
      <c r="I7" s="155"/>
      <c r="J7" s="155"/>
      <c r="K7" s="155"/>
      <c r="L7" s="151"/>
      <c r="M7" s="155"/>
      <c r="N7" s="155"/>
      <c r="O7" s="155"/>
      <c r="P7" s="155"/>
      <c r="Q7" s="158">
        <f>Q5-Q6</f>
        <v>-107681181.05999994</v>
      </c>
      <c r="R7" s="79"/>
      <c r="S7" s="79"/>
    </row>
    <row r="8" spans="1:19" x14ac:dyDescent="0.25">
      <c r="A8" s="3"/>
      <c r="B8" s="3"/>
      <c r="C8" s="34"/>
      <c r="D8" s="227" t="s">
        <v>511</v>
      </c>
      <c r="E8" s="37">
        <f>2150000*7+2050000+1900000+1900000+1900000</f>
        <v>22800000</v>
      </c>
      <c r="F8" s="37"/>
      <c r="H8" s="147" t="s">
        <v>393</v>
      </c>
      <c r="I8" s="152">
        <f>I5-I6</f>
        <v>-10628517.129999995</v>
      </c>
      <c r="J8" s="152">
        <f t="shared" ref="J8:P8" si="0">J5-J6</f>
        <v>-3128000</v>
      </c>
      <c r="K8" s="152">
        <f t="shared" si="0"/>
        <v>-3744600</v>
      </c>
      <c r="L8" s="152">
        <f t="shared" si="0"/>
        <v>-6360808.8200000003</v>
      </c>
      <c r="M8" s="151">
        <f>M5-M6</f>
        <v>-81121369.25</v>
      </c>
      <c r="N8" s="151">
        <f t="shared" si="0"/>
        <v>-2697885.8600000003</v>
      </c>
      <c r="O8" s="151">
        <f t="shared" si="0"/>
        <v>0</v>
      </c>
      <c r="P8" s="155">
        <f t="shared" si="0"/>
        <v>0</v>
      </c>
      <c r="Q8" s="156"/>
      <c r="R8" s="79"/>
      <c r="S8" s="79"/>
    </row>
    <row r="9" spans="1:19" x14ac:dyDescent="0.25">
      <c r="A9" s="3"/>
      <c r="B9" s="3"/>
      <c r="C9" s="34"/>
      <c r="D9" s="36" t="s">
        <v>88</v>
      </c>
      <c r="E9" s="37">
        <v>1300000</v>
      </c>
      <c r="F9" s="36" t="s">
        <v>6</v>
      </c>
      <c r="H9" s="79"/>
      <c r="I9" s="79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x14ac:dyDescent="0.25">
      <c r="A10" s="3"/>
      <c r="B10" s="3"/>
      <c r="C10" s="34"/>
      <c r="D10" s="38"/>
      <c r="E10" s="37"/>
      <c r="F10" s="3"/>
      <c r="H10" s="26" t="s">
        <v>395</v>
      </c>
      <c r="I10" s="25">
        <f>Q6-P6-O6</f>
        <v>2099251981.0599999</v>
      </c>
      <c r="J10" s="79">
        <v>630000000</v>
      </c>
      <c r="K10" s="159">
        <f>J5+K5</f>
        <v>231855700</v>
      </c>
      <c r="L10" s="159"/>
      <c r="M10" s="79">
        <f>M6*5%</f>
        <v>59847718.462500006</v>
      </c>
      <c r="N10" s="157"/>
      <c r="O10" s="157"/>
      <c r="P10" s="79"/>
      <c r="Q10" s="157"/>
      <c r="R10" s="79"/>
      <c r="S10" s="79"/>
    </row>
    <row r="11" spans="1:19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383418960</v>
      </c>
      <c r="F11" s="2" t="s">
        <v>90</v>
      </c>
      <c r="H11" s="160">
        <v>0.3</v>
      </c>
      <c r="I11" s="161">
        <f>I10*30%</f>
        <v>629775594.31799996</v>
      </c>
      <c r="K11" s="162">
        <f>J6+K6</f>
        <v>238728300</v>
      </c>
      <c r="L11" s="163"/>
      <c r="M11" s="164">
        <f>M5+M10</f>
        <v>1175680718.4625001</v>
      </c>
      <c r="Q11" s="165">
        <v>601441000</v>
      </c>
      <c r="R11" s="79"/>
      <c r="S11" s="79"/>
    </row>
    <row r="12" spans="1:19" x14ac:dyDescent="0.25">
      <c r="A12" s="3"/>
      <c r="B12" s="3"/>
      <c r="C12" s="34"/>
      <c r="D12" s="36" t="s">
        <v>456</v>
      </c>
      <c r="E12" s="37">
        <v>33919200</v>
      </c>
      <c r="F12" s="39" t="s">
        <v>0</v>
      </c>
      <c r="H12" s="20" t="s">
        <v>396</v>
      </c>
      <c r="I12" s="166">
        <f>E5-E33-E62-E73-E75</f>
        <v>529570560</v>
      </c>
      <c r="J12" s="167">
        <f>I12/I10*100</f>
        <v>25.226631427666806</v>
      </c>
      <c r="K12" s="168" t="s">
        <v>397</v>
      </c>
      <c r="L12" s="169">
        <f>I5*5%</f>
        <v>30044105</v>
      </c>
      <c r="M12" s="164">
        <f>M5+M19</f>
        <v>1196954369.25</v>
      </c>
      <c r="O12" s="164">
        <f>M5-239300000</f>
        <v>876533000</v>
      </c>
      <c r="P12" s="1"/>
      <c r="Q12" s="1">
        <v>582565000</v>
      </c>
      <c r="R12" s="79"/>
      <c r="S12" s="79"/>
    </row>
    <row r="13" spans="1:19" x14ac:dyDescent="0.25">
      <c r="A13" s="3"/>
      <c r="B13" s="3"/>
      <c r="C13" s="34"/>
      <c r="D13" s="227" t="s">
        <v>512</v>
      </c>
      <c r="E13" s="37">
        <f>1600000*7+1400000+1400000+1400000+1400000</f>
        <v>16800000</v>
      </c>
      <c r="F13" s="39" t="s">
        <v>0</v>
      </c>
      <c r="G13" s="173"/>
      <c r="H13" s="20" t="s">
        <v>398</v>
      </c>
      <c r="I13" s="170">
        <f>I11-I12</f>
        <v>100205034.31799996</v>
      </c>
      <c r="J13">
        <f>I5*5%</f>
        <v>30044105</v>
      </c>
      <c r="K13" s="171"/>
      <c r="L13" s="169"/>
      <c r="M13" s="164">
        <f>I5+J5+K5+M5+O5+P5</f>
        <v>2254970800</v>
      </c>
      <c r="Q13" s="164">
        <f>Q11-Q12</f>
        <v>18876000</v>
      </c>
      <c r="R13" s="79"/>
      <c r="S13" s="79"/>
    </row>
    <row r="14" spans="1:19" x14ac:dyDescent="0.25">
      <c r="A14" s="3"/>
      <c r="B14" s="3"/>
      <c r="C14" s="34"/>
      <c r="D14" s="36" t="s">
        <v>93</v>
      </c>
      <c r="E14" s="37">
        <v>1125000</v>
      </c>
      <c r="F14" s="39" t="s">
        <v>6</v>
      </c>
      <c r="H14" s="171"/>
      <c r="I14" s="172"/>
      <c r="J14" s="164">
        <f>I5+J13</f>
        <v>630926205</v>
      </c>
      <c r="K14" s="171"/>
      <c r="L14" s="169"/>
      <c r="M14" s="164"/>
      <c r="P14" t="s">
        <v>504</v>
      </c>
      <c r="Q14" s="164">
        <f>M5*25%</f>
        <v>278958250</v>
      </c>
      <c r="R14" s="79"/>
      <c r="S14" s="79"/>
    </row>
    <row r="15" spans="1:19" x14ac:dyDescent="0.25">
      <c r="A15" s="3"/>
      <c r="B15" s="3"/>
      <c r="C15" s="34"/>
      <c r="D15" s="36" t="s">
        <v>457</v>
      </c>
      <c r="E15" s="37">
        <v>218399760</v>
      </c>
      <c r="F15" s="36" t="s">
        <v>0</v>
      </c>
      <c r="H15" s="173">
        <f>E12+E15+E16</f>
        <v>252318960</v>
      </c>
      <c r="I15" s="173">
        <f>E14+E18</f>
        <v>6300000</v>
      </c>
      <c r="K15">
        <f>11*12</f>
        <v>132</v>
      </c>
      <c r="M15" s="173">
        <f>M5*8%</f>
        <v>89266640</v>
      </c>
      <c r="N15" s="164">
        <v>73000000</v>
      </c>
      <c r="P15" s="235" t="s">
        <v>502</v>
      </c>
      <c r="Q15" s="173">
        <f>M5-Q14</f>
        <v>836874750</v>
      </c>
    </row>
    <row r="16" spans="1:19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H16" s="173">
        <f>E13+E17</f>
        <v>124800000</v>
      </c>
      <c r="M16" s="173"/>
      <c r="N16" s="164"/>
      <c r="P16" t="s">
        <v>503</v>
      </c>
      <c r="Q16" s="173">
        <f>Q15*40%</f>
        <v>334749900</v>
      </c>
    </row>
    <row r="17" spans="1:17" ht="30" x14ac:dyDescent="0.25">
      <c r="A17" s="3"/>
      <c r="B17" s="3"/>
      <c r="C17" s="34"/>
      <c r="D17" s="207" t="s">
        <v>513</v>
      </c>
      <c r="E17" s="37">
        <f>(1150000*9*7)+8550000+9000000+9000000+9000000</f>
        <v>108000000</v>
      </c>
      <c r="F17" s="36" t="s">
        <v>0</v>
      </c>
      <c r="H17" s="173">
        <f>SUM(E15:E16)</f>
        <v>218399760</v>
      </c>
      <c r="I17" s="173">
        <f>H17/108</f>
        <v>2022220</v>
      </c>
      <c r="J17" s="380">
        <f>J19+K19</f>
        <v>6872600</v>
      </c>
      <c r="K17" s="380"/>
      <c r="Q17" s="173">
        <f>Q16-334749900</f>
        <v>0</v>
      </c>
    </row>
    <row r="18" spans="1:17" x14ac:dyDescent="0.25">
      <c r="A18" s="3"/>
      <c r="B18" s="3"/>
      <c r="C18" s="34"/>
      <c r="D18" s="36" t="s">
        <v>97</v>
      </c>
      <c r="E18" s="41">
        <v>5175000</v>
      </c>
      <c r="F18" s="42" t="s">
        <v>6</v>
      </c>
      <c r="H18" s="26"/>
      <c r="I18" s="174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SUM(E20:E32)</f>
        <v>18795600</v>
      </c>
      <c r="F19" s="3" t="s">
        <v>0</v>
      </c>
      <c r="H19" s="182" t="s">
        <v>390</v>
      </c>
      <c r="I19" s="176">
        <v>10628517.130000001</v>
      </c>
      <c r="J19" s="177">
        <v>3128000</v>
      </c>
      <c r="K19" s="177">
        <v>3744600</v>
      </c>
      <c r="L19" s="177">
        <v>6360808.8200000003</v>
      </c>
      <c r="M19" s="197">
        <v>81121369.25</v>
      </c>
      <c r="N19" s="176">
        <v>2697885.86</v>
      </c>
      <c r="O19" s="176">
        <v>0</v>
      </c>
      <c r="P19" s="178">
        <v>0</v>
      </c>
      <c r="Q19" s="175"/>
    </row>
    <row r="20" spans="1:17" x14ac:dyDescent="0.25">
      <c r="A20" s="3"/>
      <c r="B20" s="3"/>
      <c r="C20" s="34"/>
      <c r="D20" s="43"/>
      <c r="E20" s="209" t="s">
        <v>480</v>
      </c>
      <c r="F20" s="210" t="s">
        <v>481</v>
      </c>
      <c r="H20" s="26" t="s">
        <v>399</v>
      </c>
      <c r="I20" s="381">
        <f>SUM(I19:N19)</f>
        <v>107681181.06</v>
      </c>
      <c r="J20" s="382"/>
      <c r="K20" s="382"/>
      <c r="L20" s="382"/>
      <c r="M20" s="382"/>
      <c r="N20" s="382"/>
      <c r="O20" s="382"/>
      <c r="P20" s="383"/>
      <c r="Q20" s="179"/>
    </row>
    <row r="21" spans="1:17" x14ac:dyDescent="0.25">
      <c r="A21" s="3"/>
      <c r="B21" s="3"/>
      <c r="C21" s="34"/>
      <c r="D21" s="43" t="s">
        <v>100</v>
      </c>
      <c r="E21" s="37">
        <f>F21*12</f>
        <v>1794000</v>
      </c>
      <c r="F21" s="37">
        <v>149500</v>
      </c>
      <c r="H21" s="180" t="s">
        <v>400</v>
      </c>
      <c r="I21" s="181">
        <f>I19-E16-E35-96753.61</f>
        <v>10531763.520000001</v>
      </c>
      <c r="J21" s="181">
        <f>J8+J19</f>
        <v>0</v>
      </c>
      <c r="K21" s="181">
        <f>K8+K19</f>
        <v>0</v>
      </c>
      <c r="L21" s="181">
        <f>L19</f>
        <v>6360808.8200000003</v>
      </c>
      <c r="M21" s="181">
        <f>M19</f>
        <v>81121369.25</v>
      </c>
      <c r="N21" s="181">
        <f>N8+N19</f>
        <v>0</v>
      </c>
      <c r="O21" s="181"/>
      <c r="P21" s="20"/>
      <c r="Q21" s="171"/>
    </row>
    <row r="22" spans="1:17" x14ac:dyDescent="0.25">
      <c r="A22" s="3"/>
      <c r="B22" s="3"/>
      <c r="C22" s="34"/>
      <c r="D22" s="43" t="s">
        <v>101</v>
      </c>
      <c r="E22" s="37">
        <f t="shared" ref="E22:E28" si="1">F22*12</f>
        <v>969600</v>
      </c>
      <c r="F22" s="37">
        <v>80800</v>
      </c>
      <c r="H22" s="26" t="s">
        <v>401</v>
      </c>
      <c r="I22" s="181">
        <f>I8+I19</f>
        <v>0</v>
      </c>
      <c r="J22" s="181">
        <f>J8+J19</f>
        <v>0</v>
      </c>
      <c r="K22" s="181">
        <f>K8+K19</f>
        <v>0</v>
      </c>
      <c r="L22" s="181">
        <f>L8+L19</f>
        <v>0</v>
      </c>
      <c r="M22" s="181">
        <f>M8+M19-E451</f>
        <v>0</v>
      </c>
      <c r="N22" s="181">
        <f>N8+N19</f>
        <v>0</v>
      </c>
      <c r="O22" s="181"/>
      <c r="P22" s="20"/>
    </row>
    <row r="23" spans="1:17" x14ac:dyDescent="0.25">
      <c r="A23" s="3"/>
      <c r="B23" s="3"/>
      <c r="C23" s="34"/>
      <c r="D23" s="43" t="s">
        <v>102</v>
      </c>
      <c r="E23" s="37">
        <f t="shared" si="1"/>
        <v>146400</v>
      </c>
      <c r="F23" s="37">
        <v>12200</v>
      </c>
    </row>
    <row r="24" spans="1:17" x14ac:dyDescent="0.25">
      <c r="A24" s="3"/>
      <c r="B24" s="3"/>
      <c r="C24" s="34"/>
      <c r="D24" s="43" t="s">
        <v>103</v>
      </c>
      <c r="E24" s="37">
        <f t="shared" si="1"/>
        <v>116400</v>
      </c>
      <c r="F24" s="37">
        <v>9700</v>
      </c>
      <c r="I24" s="173">
        <f>E7+E8</f>
        <v>71256000</v>
      </c>
      <c r="K24" s="164"/>
    </row>
    <row r="25" spans="1:17" x14ac:dyDescent="0.25">
      <c r="A25" s="3"/>
      <c r="B25" s="3"/>
      <c r="C25" s="34"/>
      <c r="D25" s="43" t="s">
        <v>476</v>
      </c>
      <c r="E25" s="37">
        <f t="shared" si="1"/>
        <v>1255200</v>
      </c>
      <c r="F25" s="37">
        <v>104600</v>
      </c>
      <c r="I25" s="173">
        <f>9000000*3</f>
        <v>27000000</v>
      </c>
      <c r="M25">
        <v>243711000</v>
      </c>
    </row>
    <row r="26" spans="1:17" x14ac:dyDescent="0.25">
      <c r="A26" s="3"/>
      <c r="B26" s="3"/>
      <c r="C26" s="34"/>
      <c r="D26" s="43" t="s">
        <v>477</v>
      </c>
      <c r="E26" s="37">
        <f t="shared" si="1"/>
        <v>679200</v>
      </c>
      <c r="F26" s="37">
        <v>56600</v>
      </c>
      <c r="I26" s="173">
        <f>1150000*9*7</f>
        <v>72450000</v>
      </c>
      <c r="J26">
        <f>1150000*9*8</f>
        <v>82800000</v>
      </c>
      <c r="M26" s="164">
        <f>M25-M22</f>
        <v>243711000</v>
      </c>
    </row>
    <row r="27" spans="1:17" x14ac:dyDescent="0.25">
      <c r="A27" s="3"/>
      <c r="B27" s="3"/>
      <c r="C27" s="34"/>
      <c r="D27" s="43" t="s">
        <v>478</v>
      </c>
      <c r="E27" s="37">
        <f t="shared" si="1"/>
        <v>102000</v>
      </c>
      <c r="F27" s="37">
        <v>8500</v>
      </c>
      <c r="H27" s="173">
        <f>E13+E14+E17+E18</f>
        <v>131100000</v>
      </c>
      <c r="I27" s="173">
        <f>950000*9</f>
        <v>8550000</v>
      </c>
    </row>
    <row r="28" spans="1:17" x14ac:dyDescent="0.25">
      <c r="A28" s="3"/>
      <c r="B28" s="3"/>
      <c r="C28" s="34"/>
      <c r="D28" s="43" t="s">
        <v>479</v>
      </c>
      <c r="E28" s="37">
        <f t="shared" si="1"/>
        <v>81600</v>
      </c>
      <c r="F28" s="208">
        <v>6800</v>
      </c>
      <c r="I28" s="173">
        <f>I25+I26+I27</f>
        <v>108000000</v>
      </c>
      <c r="J28" s="173">
        <f>I28/9</f>
        <v>12000000</v>
      </c>
    </row>
    <row r="29" spans="1:17" x14ac:dyDescent="0.25">
      <c r="A29" s="3"/>
      <c r="B29" s="3"/>
      <c r="C29" s="34"/>
      <c r="D29" s="43" t="s">
        <v>105</v>
      </c>
      <c r="E29" s="37">
        <f>F29*9*12</f>
        <v>8089200</v>
      </c>
      <c r="F29" s="208">
        <v>74900</v>
      </c>
      <c r="H29" s="173">
        <f>SUM(F21:F24)</f>
        <v>252200</v>
      </c>
      <c r="I29">
        <f>9*12</f>
        <v>108</v>
      </c>
      <c r="L29" t="s">
        <v>437</v>
      </c>
      <c r="M29" s="194">
        <f>M5*3%</f>
        <v>33474990</v>
      </c>
      <c r="Q29" s="164">
        <f>I20+Q7</f>
        <v>0</v>
      </c>
    </row>
    <row r="30" spans="1:17" x14ac:dyDescent="0.25">
      <c r="A30" s="3"/>
      <c r="B30" s="3"/>
      <c r="C30" s="34"/>
      <c r="D30" s="43" t="s">
        <v>106</v>
      </c>
      <c r="E30" s="37">
        <f t="shared" ref="E30:E32" si="2">F30*9*12</f>
        <v>4374000</v>
      </c>
      <c r="F30" s="208">
        <v>40500</v>
      </c>
      <c r="H30" s="173">
        <f>H29*12</f>
        <v>3026400</v>
      </c>
    </row>
    <row r="31" spans="1:17" x14ac:dyDescent="0.25">
      <c r="A31" s="3"/>
      <c r="B31" s="3"/>
      <c r="C31" s="34"/>
      <c r="D31" s="43" t="s">
        <v>107</v>
      </c>
      <c r="E31" s="37">
        <f t="shared" si="2"/>
        <v>658800</v>
      </c>
      <c r="F31" s="208">
        <v>6100</v>
      </c>
      <c r="H31" s="1">
        <f>1000000*3*9</f>
        <v>27000000</v>
      </c>
      <c r="I31">
        <f>L5*20%</f>
        <v>7600000</v>
      </c>
      <c r="K31" t="s">
        <v>442</v>
      </c>
      <c r="L31" s="164">
        <f>500000*12</f>
        <v>6000000</v>
      </c>
    </row>
    <row r="32" spans="1:17" x14ac:dyDescent="0.25">
      <c r="A32" s="3"/>
      <c r="B32" s="3"/>
      <c r="C32" s="34"/>
      <c r="D32" s="43" t="s">
        <v>108</v>
      </c>
      <c r="E32" s="37">
        <f t="shared" si="2"/>
        <v>529200</v>
      </c>
      <c r="F32" s="208">
        <v>4900</v>
      </c>
      <c r="H32" s="1">
        <f>1000000*9*3</f>
        <v>27000000</v>
      </c>
      <c r="I32" s="173">
        <f>E18+E14+E9</f>
        <v>7600000</v>
      </c>
      <c r="K32" t="s">
        <v>443</v>
      </c>
      <c r="L32" s="164">
        <f>300000*9*12</f>
        <v>32400000</v>
      </c>
    </row>
    <row r="33" spans="1:12" x14ac:dyDescent="0.25">
      <c r="A33" s="3">
        <v>1</v>
      </c>
      <c r="B33" s="3">
        <v>1</v>
      </c>
      <c r="C33" s="34" t="s">
        <v>109</v>
      </c>
      <c r="D33" s="4" t="s">
        <v>16</v>
      </c>
      <c r="E33" s="45">
        <f>SUM(E34:E51)</f>
        <v>131437942.98999999</v>
      </c>
      <c r="F33" s="2"/>
      <c r="H33" s="1"/>
      <c r="L33" s="164">
        <f>SUM(L31:L32)</f>
        <v>38400000</v>
      </c>
    </row>
    <row r="34" spans="1:12" x14ac:dyDescent="0.25">
      <c r="A34" s="46"/>
      <c r="B34" s="46"/>
      <c r="C34" s="47"/>
      <c r="D34" s="48" t="s">
        <v>110</v>
      </c>
      <c r="E34" s="49">
        <v>7240057.1299999999</v>
      </c>
      <c r="F34" s="42" t="s">
        <v>0</v>
      </c>
      <c r="G34" t="s">
        <v>6</v>
      </c>
      <c r="H34" s="173">
        <f>E34/12</f>
        <v>603338.09416666662</v>
      </c>
    </row>
    <row r="35" spans="1:12" hidden="1" x14ac:dyDescent="0.25">
      <c r="A35" s="46"/>
      <c r="B35" s="46"/>
      <c r="C35" s="47"/>
      <c r="D35" s="48" t="s">
        <v>110</v>
      </c>
      <c r="E35" s="49">
        <v>0</v>
      </c>
      <c r="F35" s="42" t="s">
        <v>111</v>
      </c>
    </row>
    <row r="36" spans="1:12" x14ac:dyDescent="0.25">
      <c r="A36" s="46"/>
      <c r="B36" s="46"/>
      <c r="C36" s="47"/>
      <c r="D36" s="48" t="s">
        <v>112</v>
      </c>
      <c r="E36" s="49">
        <v>11000000</v>
      </c>
      <c r="F36" s="48" t="s">
        <v>0</v>
      </c>
      <c r="H36" s="173">
        <f>E38+I22</f>
        <v>197885.86</v>
      </c>
      <c r="I36" s="173">
        <f>E34+I22</f>
        <v>7240057.1299999999</v>
      </c>
    </row>
    <row r="37" spans="1:12" x14ac:dyDescent="0.25">
      <c r="A37" s="46"/>
      <c r="B37" s="46"/>
      <c r="C37" s="47"/>
      <c r="D37" s="48" t="s">
        <v>113</v>
      </c>
      <c r="E37" s="49">
        <v>1200000</v>
      </c>
      <c r="F37" s="48" t="s">
        <v>6</v>
      </c>
    </row>
    <row r="38" spans="1:12" x14ac:dyDescent="0.25">
      <c r="A38" s="46"/>
      <c r="B38" s="46"/>
      <c r="C38" s="47"/>
      <c r="D38" s="42" t="s">
        <v>114</v>
      </c>
      <c r="E38" s="50">
        <v>197885.86</v>
      </c>
      <c r="F38" s="42" t="s">
        <v>9</v>
      </c>
      <c r="G38" s="237" t="s">
        <v>0</v>
      </c>
      <c r="H38" s="173">
        <f>E38+112077.13</f>
        <v>309962.99</v>
      </c>
      <c r="I38" s="173">
        <f>E38+N22</f>
        <v>197885.86</v>
      </c>
    </row>
    <row r="39" spans="1:12" hidden="1" x14ac:dyDescent="0.25">
      <c r="A39" s="46"/>
      <c r="B39" s="46"/>
      <c r="C39" s="47"/>
      <c r="D39" s="42" t="s">
        <v>115</v>
      </c>
      <c r="E39" s="50">
        <v>0</v>
      </c>
      <c r="F39" s="42" t="s">
        <v>0</v>
      </c>
    </row>
    <row r="40" spans="1:12" x14ac:dyDescent="0.25">
      <c r="A40" s="46"/>
      <c r="B40" s="46"/>
      <c r="C40" s="47"/>
      <c r="D40" s="42" t="s">
        <v>116</v>
      </c>
      <c r="E40" s="50">
        <v>4000000</v>
      </c>
      <c r="F40" s="42" t="s">
        <v>0</v>
      </c>
      <c r="H40" s="1">
        <f>39138840-27300</f>
        <v>39111540</v>
      </c>
    </row>
    <row r="41" spans="1:12" x14ac:dyDescent="0.25">
      <c r="A41" s="46"/>
      <c r="B41" s="46"/>
      <c r="C41" s="47"/>
      <c r="D41" s="48" t="s">
        <v>410</v>
      </c>
      <c r="E41" s="49">
        <v>4000000</v>
      </c>
      <c r="F41" s="42" t="s">
        <v>9</v>
      </c>
    </row>
    <row r="42" spans="1:12" x14ac:dyDescent="0.25">
      <c r="A42" s="46"/>
      <c r="B42" s="46"/>
      <c r="C42" s="47"/>
      <c r="D42" s="48" t="s">
        <v>410</v>
      </c>
      <c r="E42" s="49">
        <v>3500000</v>
      </c>
      <c r="F42" s="42" t="s">
        <v>433</v>
      </c>
    </row>
    <row r="43" spans="1:12" x14ac:dyDescent="0.25">
      <c r="A43" s="46"/>
      <c r="B43" s="46"/>
      <c r="C43" s="46"/>
      <c r="D43" s="42" t="s">
        <v>117</v>
      </c>
      <c r="E43" s="50">
        <v>1000000</v>
      </c>
      <c r="F43" s="42" t="s">
        <v>6</v>
      </c>
      <c r="H43" s="193" t="s">
        <v>430</v>
      </c>
    </row>
    <row r="44" spans="1:12" x14ac:dyDescent="0.25">
      <c r="A44" s="46"/>
      <c r="B44" s="46"/>
      <c r="C44" s="46"/>
      <c r="D44" s="42" t="s">
        <v>118</v>
      </c>
      <c r="E44" s="50">
        <v>6000000</v>
      </c>
      <c r="F44" s="42" t="s">
        <v>1</v>
      </c>
    </row>
    <row r="45" spans="1:12" x14ac:dyDescent="0.25">
      <c r="A45" s="46"/>
      <c r="B45" s="46"/>
      <c r="C45" s="46"/>
      <c r="D45" s="42" t="s">
        <v>118</v>
      </c>
      <c r="E45" s="50">
        <v>5000000</v>
      </c>
      <c r="F45" s="42" t="s">
        <v>6</v>
      </c>
      <c r="G45" s="173">
        <f>E51+E50+E40+E36+E34</f>
        <v>41540057.130000003</v>
      </c>
    </row>
    <row r="46" spans="1:12" x14ac:dyDescent="0.25">
      <c r="A46" s="46"/>
      <c r="B46" s="46"/>
      <c r="C46" s="46"/>
      <c r="D46" s="42" t="s">
        <v>118</v>
      </c>
      <c r="E46" s="50">
        <v>1000000</v>
      </c>
      <c r="F46" s="42" t="s">
        <v>431</v>
      </c>
    </row>
    <row r="47" spans="1:12" x14ac:dyDescent="0.25">
      <c r="A47" s="46"/>
      <c r="B47" s="46"/>
      <c r="C47" s="46"/>
      <c r="D47" s="42" t="s">
        <v>118</v>
      </c>
      <c r="E47" s="50">
        <v>7000000</v>
      </c>
      <c r="F47" s="42" t="s">
        <v>2</v>
      </c>
    </row>
    <row r="48" spans="1:12" ht="15.75" thickBot="1" x14ac:dyDescent="0.3">
      <c r="A48" s="46"/>
      <c r="B48" s="46"/>
      <c r="C48" s="46"/>
      <c r="D48" s="42" t="s">
        <v>119</v>
      </c>
      <c r="E48" s="50">
        <v>10000000</v>
      </c>
      <c r="F48" s="42" t="s">
        <v>6</v>
      </c>
      <c r="J48" s="193" t="s">
        <v>520</v>
      </c>
      <c r="K48" s="193"/>
    </row>
    <row r="49" spans="1:11" x14ac:dyDescent="0.25">
      <c r="A49" s="46"/>
      <c r="B49" s="46"/>
      <c r="C49" s="46"/>
      <c r="D49" s="42" t="s">
        <v>120</v>
      </c>
      <c r="E49" s="50">
        <v>51000000</v>
      </c>
      <c r="F49" s="42" t="s">
        <v>1</v>
      </c>
      <c r="H49" s="173">
        <f>SUM(E49:E50)</f>
        <v>61200000</v>
      </c>
      <c r="I49" s="164">
        <f>800000*12</f>
        <v>9600000</v>
      </c>
      <c r="J49" s="243">
        <f>(950000*7)+(750000*3)+355000</f>
        <v>9255000</v>
      </c>
      <c r="K49" s="244" t="s">
        <v>514</v>
      </c>
    </row>
    <row r="50" spans="1:11" x14ac:dyDescent="0.25">
      <c r="A50" s="46"/>
      <c r="B50" s="46"/>
      <c r="C50" s="46"/>
      <c r="D50" s="42" t="s">
        <v>120</v>
      </c>
      <c r="E50" s="50">
        <v>10200000</v>
      </c>
      <c r="F50" s="42" t="s">
        <v>0</v>
      </c>
      <c r="I50" s="164">
        <f>700000*12</f>
        <v>8400000</v>
      </c>
      <c r="J50" s="245">
        <f>(875000*7)+(675000*3)+355000</f>
        <v>8505000</v>
      </c>
      <c r="K50" s="246" t="s">
        <v>515</v>
      </c>
    </row>
    <row r="51" spans="1:11" x14ac:dyDescent="0.25">
      <c r="A51" s="46"/>
      <c r="B51" s="46"/>
      <c r="C51" s="46"/>
      <c r="D51" s="42" t="s">
        <v>496</v>
      </c>
      <c r="E51" s="50">
        <v>9100000</v>
      </c>
      <c r="F51" s="42" t="s">
        <v>0</v>
      </c>
      <c r="H51" s="193">
        <f>700000*13</f>
        <v>9100000</v>
      </c>
      <c r="I51" s="164">
        <f>600000*6*12</f>
        <v>43200000</v>
      </c>
      <c r="J51" s="245">
        <f>(875000*7)+355000</f>
        <v>6480000</v>
      </c>
      <c r="K51" s="246" t="s">
        <v>516</v>
      </c>
    </row>
    <row r="52" spans="1:11" x14ac:dyDescent="0.25">
      <c r="A52" s="5">
        <v>1</v>
      </c>
      <c r="B52" s="5">
        <v>1</v>
      </c>
      <c r="C52" s="53" t="s">
        <v>122</v>
      </c>
      <c r="D52" s="5" t="s">
        <v>17</v>
      </c>
      <c r="E52" s="54">
        <f>SUM(E53:E54)</f>
        <v>44300000</v>
      </c>
      <c r="F52" s="5" t="s">
        <v>0</v>
      </c>
      <c r="H52" s="193">
        <f>13*675000</f>
        <v>8775000</v>
      </c>
      <c r="I52" s="194">
        <f>SUM(I49:I51)</f>
        <v>61200000</v>
      </c>
      <c r="J52" s="245">
        <f>(837500*7)+(637500*3)+355000</f>
        <v>8130000</v>
      </c>
      <c r="K52" s="246" t="s">
        <v>517</v>
      </c>
    </row>
    <row r="53" spans="1:11" x14ac:dyDescent="0.25">
      <c r="A53" s="5"/>
      <c r="B53" s="5"/>
      <c r="C53" s="53"/>
      <c r="D53" s="239" t="s">
        <v>123</v>
      </c>
      <c r="E53" s="50">
        <v>40500000</v>
      </c>
      <c r="F53" s="42" t="s">
        <v>0</v>
      </c>
      <c r="I53" s="164">
        <f>I52/12</f>
        <v>5100000</v>
      </c>
      <c r="J53" s="249">
        <f>J52</f>
        <v>8130000</v>
      </c>
      <c r="K53" s="246" t="s">
        <v>518</v>
      </c>
    </row>
    <row r="54" spans="1:11" ht="15.75" thickBot="1" x14ac:dyDescent="0.3">
      <c r="A54" s="5"/>
      <c r="B54" s="5"/>
      <c r="C54" s="53"/>
      <c r="D54" s="55" t="s">
        <v>124</v>
      </c>
      <c r="E54" s="50">
        <v>3800000</v>
      </c>
      <c r="F54" s="42" t="s">
        <v>6</v>
      </c>
      <c r="H54" s="173">
        <f>E54/5</f>
        <v>760000</v>
      </c>
      <c r="I54" s="164">
        <f>I53*2</f>
        <v>10200000</v>
      </c>
      <c r="J54" s="247">
        <f>SUM(J49:J53)</f>
        <v>40500000</v>
      </c>
      <c r="K54" s="248"/>
    </row>
    <row r="55" spans="1:11" x14ac:dyDescent="0.25">
      <c r="A55" s="5">
        <v>1</v>
      </c>
      <c r="B55" s="5">
        <v>1</v>
      </c>
      <c r="C55" s="53" t="s">
        <v>125</v>
      </c>
      <c r="D55" s="5" t="s">
        <v>18</v>
      </c>
      <c r="E55" s="54">
        <f>SUM(E56:E61)</f>
        <v>10500000</v>
      </c>
      <c r="F55" s="5" t="s">
        <v>6</v>
      </c>
      <c r="I55" s="164">
        <f>I53*10</f>
        <v>51000000</v>
      </c>
      <c r="J55" s="1">
        <f>40500000-J54</f>
        <v>0</v>
      </c>
    </row>
    <row r="56" spans="1:11" x14ac:dyDescent="0.25">
      <c r="A56" s="46"/>
      <c r="B56" s="46"/>
      <c r="C56" s="46"/>
      <c r="D56" s="42" t="s">
        <v>126</v>
      </c>
      <c r="E56" s="50">
        <v>500000</v>
      </c>
      <c r="F56" s="42" t="s">
        <v>6</v>
      </c>
      <c r="I56" s="164"/>
      <c r="J56">
        <f>J55/5</f>
        <v>0</v>
      </c>
    </row>
    <row r="57" spans="1:11" x14ac:dyDescent="0.25">
      <c r="A57" s="46"/>
      <c r="B57" s="46"/>
      <c r="C57" s="46"/>
      <c r="D57" s="42" t="s">
        <v>497</v>
      </c>
      <c r="E57" s="50">
        <v>3500000</v>
      </c>
      <c r="F57" s="42" t="s">
        <v>6</v>
      </c>
      <c r="H57">
        <f>675000*5</f>
        <v>3375000</v>
      </c>
    </row>
    <row r="58" spans="1:11" x14ac:dyDescent="0.25">
      <c r="A58" s="46"/>
      <c r="B58" s="46"/>
      <c r="C58" s="46"/>
      <c r="D58" s="42" t="s">
        <v>127</v>
      </c>
      <c r="E58" s="50">
        <v>1500000</v>
      </c>
      <c r="F58" s="42" t="s">
        <v>6</v>
      </c>
      <c r="H58">
        <f>700000*5</f>
        <v>3500000</v>
      </c>
    </row>
    <row r="59" spans="1:11" x14ac:dyDescent="0.25">
      <c r="A59" s="46"/>
      <c r="B59" s="46"/>
      <c r="C59" s="46"/>
      <c r="D59" s="42" t="s">
        <v>128</v>
      </c>
      <c r="E59" s="50">
        <v>2500000</v>
      </c>
      <c r="F59" s="42" t="s">
        <v>6</v>
      </c>
    </row>
    <row r="60" spans="1:11" x14ac:dyDescent="0.25">
      <c r="A60" s="46"/>
      <c r="B60" s="46"/>
      <c r="C60" s="46"/>
      <c r="D60" s="42" t="s">
        <v>129</v>
      </c>
      <c r="E60" s="50">
        <v>1000000</v>
      </c>
      <c r="F60" s="42" t="s">
        <v>6</v>
      </c>
    </row>
    <row r="61" spans="1:11" x14ac:dyDescent="0.25">
      <c r="A61" s="46"/>
      <c r="B61" s="46"/>
      <c r="C61" s="46"/>
      <c r="D61" s="42" t="s">
        <v>129</v>
      </c>
      <c r="E61" s="50">
        <v>1500000</v>
      </c>
      <c r="F61" s="42" t="s">
        <v>111</v>
      </c>
      <c r="G61" s="242"/>
    </row>
    <row r="62" spans="1:11" x14ac:dyDescent="0.25">
      <c r="A62" s="5">
        <v>1</v>
      </c>
      <c r="B62" s="5">
        <v>1</v>
      </c>
      <c r="C62" s="53" t="s">
        <v>160</v>
      </c>
      <c r="D62" s="5" t="s">
        <v>438</v>
      </c>
      <c r="E62" s="54">
        <f>E63+E66+E69</f>
        <v>32000000</v>
      </c>
      <c r="F62" s="5" t="s">
        <v>3</v>
      </c>
      <c r="H62" s="194">
        <f>M5*3%</f>
        <v>33474990</v>
      </c>
    </row>
    <row r="63" spans="1:11" x14ac:dyDescent="0.25">
      <c r="A63" s="46"/>
      <c r="B63" s="46"/>
      <c r="C63" s="55" t="s">
        <v>85</v>
      </c>
      <c r="D63" s="63" t="s">
        <v>439</v>
      </c>
      <c r="E63" s="64">
        <f>E64+E65</f>
        <v>5000000</v>
      </c>
      <c r="F63" s="42"/>
      <c r="H63" s="173">
        <f>E62/M5*100</f>
        <v>2.8678126565534448</v>
      </c>
    </row>
    <row r="64" spans="1:11" x14ac:dyDescent="0.25">
      <c r="A64" s="46"/>
      <c r="B64" s="46"/>
      <c r="C64" s="55"/>
      <c r="D64" s="55" t="s">
        <v>468</v>
      </c>
      <c r="E64" s="50">
        <v>3000000</v>
      </c>
      <c r="F64" s="42"/>
    </row>
    <row r="65" spans="1:6" x14ac:dyDescent="0.25">
      <c r="A65" s="46"/>
      <c r="B65" s="46"/>
      <c r="C65" s="55"/>
      <c r="D65" s="55" t="s">
        <v>469</v>
      </c>
      <c r="E65" s="50">
        <v>2000000</v>
      </c>
      <c r="F65" s="42"/>
    </row>
    <row r="66" spans="1:6" s="188" customFormat="1" ht="30" x14ac:dyDescent="0.25">
      <c r="A66" s="97"/>
      <c r="B66" s="97"/>
      <c r="C66" s="38" t="s">
        <v>89</v>
      </c>
      <c r="D66" s="99" t="s">
        <v>440</v>
      </c>
      <c r="E66" s="100">
        <f>E67+E68</f>
        <v>7000000</v>
      </c>
      <c r="F66" s="36"/>
    </row>
    <row r="67" spans="1:6" s="188" customFormat="1" x14ac:dyDescent="0.25">
      <c r="A67" s="97"/>
      <c r="B67" s="97"/>
      <c r="C67" s="38"/>
      <c r="D67" s="101" t="s">
        <v>470</v>
      </c>
      <c r="E67" s="37">
        <v>2000000</v>
      </c>
      <c r="F67" s="36"/>
    </row>
    <row r="68" spans="1:6" s="188" customFormat="1" x14ac:dyDescent="0.25">
      <c r="A68" s="97"/>
      <c r="B68" s="97"/>
      <c r="C68" s="38"/>
      <c r="D68" s="101" t="s">
        <v>471</v>
      </c>
      <c r="E68" s="37">
        <v>5000000</v>
      </c>
      <c r="F68" s="36"/>
    </row>
    <row r="69" spans="1:6" x14ac:dyDescent="0.25">
      <c r="A69" s="46"/>
      <c r="B69" s="46"/>
      <c r="C69" s="55" t="s">
        <v>98</v>
      </c>
      <c r="D69" s="63" t="s">
        <v>441</v>
      </c>
      <c r="E69" s="64">
        <f>E70+E71+E72</f>
        <v>20000000</v>
      </c>
      <c r="F69" s="42"/>
    </row>
    <row r="70" spans="1:6" x14ac:dyDescent="0.25">
      <c r="A70" s="46"/>
      <c r="B70" s="46"/>
      <c r="C70" s="55"/>
      <c r="D70" s="55" t="s">
        <v>472</v>
      </c>
      <c r="E70" s="50">
        <v>5000000</v>
      </c>
      <c r="F70" s="42"/>
    </row>
    <row r="71" spans="1:6" x14ac:dyDescent="0.25">
      <c r="A71" s="46"/>
      <c r="B71" s="46"/>
      <c r="C71" s="55"/>
      <c r="D71" s="55" t="s">
        <v>473</v>
      </c>
      <c r="E71" s="50">
        <v>15000000</v>
      </c>
      <c r="F71" s="42"/>
    </row>
    <row r="72" spans="1:6" x14ac:dyDescent="0.25">
      <c r="A72" s="46"/>
      <c r="B72" s="46"/>
      <c r="C72" s="55"/>
      <c r="D72" s="55" t="s">
        <v>474</v>
      </c>
      <c r="E72" s="50">
        <v>0</v>
      </c>
      <c r="F72" s="42"/>
    </row>
    <row r="73" spans="1:6" x14ac:dyDescent="0.25">
      <c r="A73" s="5">
        <v>1</v>
      </c>
      <c r="B73" s="5">
        <v>1</v>
      </c>
      <c r="C73" s="53" t="s">
        <v>130</v>
      </c>
      <c r="D73" s="5" t="s">
        <v>19</v>
      </c>
      <c r="E73" s="54">
        <f>E74</f>
        <v>18000000</v>
      </c>
      <c r="F73" s="5" t="s">
        <v>131</v>
      </c>
    </row>
    <row r="74" spans="1:6" x14ac:dyDescent="0.25">
      <c r="A74" s="46"/>
      <c r="B74" s="46"/>
      <c r="C74" s="46"/>
      <c r="D74" s="42" t="s">
        <v>19</v>
      </c>
      <c r="E74" s="50">
        <v>18000000</v>
      </c>
      <c r="F74" s="42" t="s">
        <v>131</v>
      </c>
    </row>
    <row r="75" spans="1:6" x14ac:dyDescent="0.25">
      <c r="A75" s="5">
        <v>1</v>
      </c>
      <c r="B75" s="5">
        <v>1</v>
      </c>
      <c r="C75" s="53" t="s">
        <v>444</v>
      </c>
      <c r="D75" s="5" t="s">
        <v>445</v>
      </c>
      <c r="E75" s="54">
        <f>SUM(E76:E77)</f>
        <v>38400000</v>
      </c>
      <c r="F75" s="5" t="s">
        <v>131</v>
      </c>
    </row>
    <row r="76" spans="1:6" x14ac:dyDescent="0.25">
      <c r="A76" s="5"/>
      <c r="B76" s="5"/>
      <c r="C76" s="53"/>
      <c r="D76" s="42" t="s">
        <v>446</v>
      </c>
      <c r="E76" s="50">
        <v>6000000</v>
      </c>
      <c r="F76" s="42"/>
    </row>
    <row r="77" spans="1:6" x14ac:dyDescent="0.25">
      <c r="A77" s="46"/>
      <c r="B77" s="46"/>
      <c r="C77" s="46"/>
      <c r="D77" s="42" t="s">
        <v>447</v>
      </c>
      <c r="E77" s="50">
        <v>32400000</v>
      </c>
      <c r="F77" s="42"/>
    </row>
    <row r="78" spans="1:6" x14ac:dyDescent="0.25">
      <c r="A78" s="8">
        <v>1</v>
      </c>
      <c r="B78" s="8">
        <v>2</v>
      </c>
      <c r="C78" s="56"/>
      <c r="D78" s="8" t="s">
        <v>25</v>
      </c>
      <c r="E78" s="57">
        <f>E79+E84+E94</f>
        <v>316800608.81999999</v>
      </c>
      <c r="F78" s="58"/>
    </row>
    <row r="79" spans="1:6" x14ac:dyDescent="0.25">
      <c r="A79" s="5">
        <v>1</v>
      </c>
      <c r="B79" s="5">
        <v>2</v>
      </c>
      <c r="C79" s="53" t="s">
        <v>85</v>
      </c>
      <c r="D79" s="5" t="s">
        <v>22</v>
      </c>
      <c r="E79" s="54">
        <f>SUM(E80:E83)</f>
        <v>43811800</v>
      </c>
      <c r="F79" s="5" t="s">
        <v>1</v>
      </c>
    </row>
    <row r="80" spans="1:6" x14ac:dyDescent="0.25">
      <c r="A80" s="46"/>
      <c r="B80" s="46"/>
      <c r="C80" s="47"/>
      <c r="D80" s="42" t="s">
        <v>428</v>
      </c>
      <c r="E80" s="50">
        <v>14173600</v>
      </c>
      <c r="F80" s="42" t="s">
        <v>1</v>
      </c>
    </row>
    <row r="81" spans="1:9" x14ac:dyDescent="0.25">
      <c r="A81" s="46"/>
      <c r="B81" s="46"/>
      <c r="C81" s="47"/>
      <c r="D81" s="42" t="s">
        <v>423</v>
      </c>
      <c r="E81" s="50">
        <v>4000000</v>
      </c>
      <c r="F81" s="42" t="s">
        <v>1</v>
      </c>
      <c r="G81" s="204" t="s">
        <v>111</v>
      </c>
    </row>
    <row r="82" spans="1:9" x14ac:dyDescent="0.25">
      <c r="A82" s="46"/>
      <c r="B82" s="46"/>
      <c r="C82" s="47"/>
      <c r="D82" s="42" t="s">
        <v>459</v>
      </c>
      <c r="E82" s="50">
        <v>11000000</v>
      </c>
      <c r="F82" s="42" t="s">
        <v>1</v>
      </c>
      <c r="G82" s="204"/>
    </row>
    <row r="83" spans="1:9" x14ac:dyDescent="0.25">
      <c r="A83" s="46"/>
      <c r="B83" s="46"/>
      <c r="C83" s="47"/>
      <c r="D83" s="42" t="s">
        <v>460</v>
      </c>
      <c r="E83" s="50">
        <v>14638200</v>
      </c>
      <c r="F83" s="42" t="s">
        <v>1</v>
      </c>
      <c r="G83" s="204" t="s">
        <v>0</v>
      </c>
      <c r="I83" s="173">
        <f>E84-18860808.82</f>
        <v>0</v>
      </c>
    </row>
    <row r="84" spans="1:9" x14ac:dyDescent="0.25">
      <c r="A84" s="3">
        <v>1</v>
      </c>
      <c r="B84" s="3">
        <v>2</v>
      </c>
      <c r="C84" s="34" t="s">
        <v>89</v>
      </c>
      <c r="D84" s="3" t="s">
        <v>23</v>
      </c>
      <c r="E84" s="35">
        <f>E85+E89+E90+E91</f>
        <v>18860808.82</v>
      </c>
      <c r="F84" s="59" t="s">
        <v>500</v>
      </c>
    </row>
    <row r="85" spans="1:9" x14ac:dyDescent="0.25">
      <c r="A85" s="5"/>
      <c r="B85" s="5"/>
      <c r="C85" s="53"/>
      <c r="D85" s="60" t="s">
        <v>134</v>
      </c>
      <c r="E85" s="61">
        <f>SUM(E86:E88)</f>
        <v>6135808.8200000003</v>
      </c>
      <c r="F85" s="60" t="s">
        <v>135</v>
      </c>
    </row>
    <row r="86" spans="1:9" x14ac:dyDescent="0.25">
      <c r="A86" s="5"/>
      <c r="B86" s="5"/>
      <c r="C86" s="53"/>
      <c r="D86" s="62" t="s">
        <v>136</v>
      </c>
      <c r="E86" s="49">
        <v>5000000</v>
      </c>
      <c r="F86" s="48" t="s">
        <v>1</v>
      </c>
    </row>
    <row r="87" spans="1:9" hidden="1" x14ac:dyDescent="0.25">
      <c r="A87" s="5"/>
      <c r="B87" s="5"/>
      <c r="C87" s="53"/>
      <c r="D87" s="62" t="s">
        <v>136</v>
      </c>
      <c r="E87" s="49">
        <v>0</v>
      </c>
      <c r="F87" s="48" t="s">
        <v>0</v>
      </c>
    </row>
    <row r="88" spans="1:9" x14ac:dyDescent="0.25">
      <c r="A88" s="5"/>
      <c r="B88" s="5"/>
      <c r="C88" s="53"/>
      <c r="D88" s="62" t="s">
        <v>137</v>
      </c>
      <c r="E88" s="49">
        <v>1135808.82</v>
      </c>
      <c r="F88" s="48" t="s">
        <v>6</v>
      </c>
      <c r="G88" s="185"/>
      <c r="H88" s="173"/>
    </row>
    <row r="89" spans="1:9" ht="15.75" thickBot="1" x14ac:dyDescent="0.3">
      <c r="A89" s="5"/>
      <c r="B89" s="5"/>
      <c r="C89" s="53"/>
      <c r="D89" s="63" t="s">
        <v>138</v>
      </c>
      <c r="E89" s="64">
        <v>500000</v>
      </c>
      <c r="F89" s="63" t="s">
        <v>0</v>
      </c>
      <c r="G89" s="238"/>
      <c r="H89" s="193" t="s">
        <v>519</v>
      </c>
      <c r="I89" s="193"/>
    </row>
    <row r="90" spans="1:9" x14ac:dyDescent="0.25">
      <c r="A90" s="5"/>
      <c r="B90" s="5"/>
      <c r="C90" s="53"/>
      <c r="D90" s="230" t="s">
        <v>139</v>
      </c>
      <c r="E90" s="64">
        <v>9600000</v>
      </c>
      <c r="F90" s="63" t="s">
        <v>0</v>
      </c>
      <c r="H90" s="250">
        <f>800000*3</f>
        <v>2400000</v>
      </c>
    </row>
    <row r="91" spans="1:9" x14ac:dyDescent="0.25">
      <c r="A91" s="5"/>
      <c r="B91" s="5"/>
      <c r="C91" s="53"/>
      <c r="D91" s="63" t="s">
        <v>140</v>
      </c>
      <c r="E91" s="64">
        <f>E92+E93</f>
        <v>2625000</v>
      </c>
      <c r="F91" s="63" t="s">
        <v>6</v>
      </c>
      <c r="H91" s="251">
        <f>850000*8</f>
        <v>6800000</v>
      </c>
      <c r="I91" s="173"/>
    </row>
    <row r="92" spans="1:9" ht="15.75" thickBot="1" x14ac:dyDescent="0.3">
      <c r="A92" s="5"/>
      <c r="B92" s="5"/>
      <c r="C92" s="53"/>
      <c r="D92" s="65" t="s">
        <v>141</v>
      </c>
      <c r="E92" s="66">
        <v>1500000</v>
      </c>
      <c r="F92" s="67"/>
      <c r="H92" s="252">
        <f>400000*1</f>
        <v>400000</v>
      </c>
    </row>
    <row r="93" spans="1:9" ht="15.75" thickBot="1" x14ac:dyDescent="0.3">
      <c r="A93" s="5"/>
      <c r="B93" s="5"/>
      <c r="C93" s="53"/>
      <c r="D93" s="65" t="s">
        <v>142</v>
      </c>
      <c r="E93" s="66">
        <v>1125000</v>
      </c>
      <c r="F93" s="67"/>
      <c r="H93" s="253">
        <f>SUM(H90:H92)</f>
        <v>9600000</v>
      </c>
    </row>
    <row r="94" spans="1:9" ht="30" x14ac:dyDescent="0.25">
      <c r="A94" s="3">
        <v>1</v>
      </c>
      <c r="B94" s="3">
        <v>2</v>
      </c>
      <c r="C94" s="34" t="s">
        <v>98</v>
      </c>
      <c r="D94" s="2" t="s">
        <v>24</v>
      </c>
      <c r="E94" s="35">
        <f>SUM(E95:E97)</f>
        <v>254128000</v>
      </c>
      <c r="F94" s="3" t="s">
        <v>4</v>
      </c>
      <c r="H94" s="1"/>
    </row>
    <row r="95" spans="1:9" hidden="1" x14ac:dyDescent="0.25">
      <c r="A95" s="3"/>
      <c r="B95" s="3"/>
      <c r="C95" s="34"/>
      <c r="D95" s="65" t="s">
        <v>143</v>
      </c>
      <c r="E95" s="37">
        <v>0</v>
      </c>
      <c r="F95" s="36" t="s">
        <v>6</v>
      </c>
      <c r="H95" s="1"/>
    </row>
    <row r="96" spans="1:9" x14ac:dyDescent="0.25">
      <c r="A96" s="5"/>
      <c r="B96" s="5"/>
      <c r="C96" s="53"/>
      <c r="D96" s="65" t="s">
        <v>143</v>
      </c>
      <c r="E96" s="66">
        <v>250000000</v>
      </c>
      <c r="F96" s="67" t="s">
        <v>4</v>
      </c>
      <c r="H96" s="1"/>
    </row>
    <row r="97" spans="1:7" x14ac:dyDescent="0.25">
      <c r="A97" s="5"/>
      <c r="B97" s="5"/>
      <c r="C97" s="53"/>
      <c r="D97" s="65" t="s">
        <v>462</v>
      </c>
      <c r="E97" s="66">
        <v>4128000</v>
      </c>
      <c r="F97" s="67" t="s">
        <v>1</v>
      </c>
    </row>
    <row r="98" spans="1:7" ht="30" x14ac:dyDescent="0.25">
      <c r="A98" s="68">
        <v>1</v>
      </c>
      <c r="B98" s="68">
        <v>3</v>
      </c>
      <c r="C98" s="68"/>
      <c r="D98" s="9" t="s">
        <v>26</v>
      </c>
      <c r="E98" s="33">
        <f>E99+E103+E108+E111</f>
        <v>20700000</v>
      </c>
      <c r="F98" s="69"/>
    </row>
    <row r="99" spans="1:7" x14ac:dyDescent="0.25">
      <c r="A99" s="5">
        <v>1</v>
      </c>
      <c r="B99" s="5">
        <v>3</v>
      </c>
      <c r="C99" s="53" t="s">
        <v>85</v>
      </c>
      <c r="D99" s="70" t="s">
        <v>27</v>
      </c>
      <c r="E99" s="54">
        <f>SUM(E100:E102)</f>
        <v>2000000</v>
      </c>
      <c r="F99" s="12" t="s">
        <v>427</v>
      </c>
    </row>
    <row r="100" spans="1:7" x14ac:dyDescent="0.25">
      <c r="A100" s="46"/>
      <c r="B100" s="46"/>
      <c r="C100" s="46"/>
      <c r="D100" s="71" t="s">
        <v>144</v>
      </c>
      <c r="E100" s="50">
        <v>1000000</v>
      </c>
      <c r="F100" s="71" t="s">
        <v>426</v>
      </c>
    </row>
    <row r="101" spans="1:7" x14ac:dyDescent="0.25">
      <c r="A101" s="46"/>
      <c r="B101" s="46"/>
      <c r="C101" s="46"/>
      <c r="D101" s="71" t="s">
        <v>145</v>
      </c>
      <c r="E101" s="50">
        <v>500000</v>
      </c>
      <c r="F101" s="71" t="s">
        <v>1</v>
      </c>
    </row>
    <row r="102" spans="1:7" x14ac:dyDescent="0.25">
      <c r="A102" s="46"/>
      <c r="B102" s="46"/>
      <c r="C102" s="46"/>
      <c r="D102" s="71" t="s">
        <v>425</v>
      </c>
      <c r="E102" s="50">
        <v>500000</v>
      </c>
      <c r="F102" s="71" t="s">
        <v>1</v>
      </c>
    </row>
    <row r="103" spans="1:7" x14ac:dyDescent="0.25">
      <c r="A103" s="5">
        <v>1</v>
      </c>
      <c r="B103" s="5">
        <v>3</v>
      </c>
      <c r="C103" s="53" t="s">
        <v>89</v>
      </c>
      <c r="D103" s="5" t="s">
        <v>28</v>
      </c>
      <c r="E103" s="54">
        <f>SUM(E104:E107)</f>
        <v>12000000</v>
      </c>
      <c r="F103" s="5" t="s">
        <v>3</v>
      </c>
    </row>
    <row r="104" spans="1:7" hidden="1" x14ac:dyDescent="0.25">
      <c r="A104" s="46"/>
      <c r="B104" s="46"/>
      <c r="C104" s="46"/>
      <c r="D104" s="42" t="s">
        <v>146</v>
      </c>
      <c r="E104" s="50">
        <v>0</v>
      </c>
      <c r="F104" s="42" t="s">
        <v>6</v>
      </c>
    </row>
    <row r="105" spans="1:7" x14ac:dyDescent="0.25">
      <c r="A105" s="46"/>
      <c r="B105" s="46"/>
      <c r="C105" s="46"/>
      <c r="D105" s="42" t="s">
        <v>128</v>
      </c>
      <c r="E105" s="50">
        <v>0</v>
      </c>
      <c r="F105" s="73"/>
    </row>
    <row r="106" spans="1:7" x14ac:dyDescent="0.25">
      <c r="A106" s="46"/>
      <c r="B106" s="46"/>
      <c r="C106" s="46"/>
      <c r="D106" s="42" t="s">
        <v>145</v>
      </c>
      <c r="E106" s="50">
        <v>0</v>
      </c>
      <c r="F106" s="48" t="s">
        <v>6</v>
      </c>
    </row>
    <row r="107" spans="1:7" x14ac:dyDescent="0.25">
      <c r="A107" s="46"/>
      <c r="B107" s="46"/>
      <c r="C107" s="46"/>
      <c r="D107" s="42" t="s">
        <v>147</v>
      </c>
      <c r="E107" s="50">
        <v>12000000</v>
      </c>
      <c r="F107" s="48" t="s">
        <v>3</v>
      </c>
      <c r="G107" s="185"/>
    </row>
    <row r="108" spans="1:7" x14ac:dyDescent="0.25">
      <c r="A108" s="3">
        <v>1</v>
      </c>
      <c r="B108" s="3">
        <v>3</v>
      </c>
      <c r="C108" s="34" t="s">
        <v>98</v>
      </c>
      <c r="D108" s="2" t="s">
        <v>29</v>
      </c>
      <c r="E108" s="35">
        <f>SUM(E109:E110)</f>
        <v>2700000</v>
      </c>
      <c r="F108" s="3" t="s">
        <v>434</v>
      </c>
    </row>
    <row r="109" spans="1:7" x14ac:dyDescent="0.25">
      <c r="A109" s="46"/>
      <c r="B109" s="46"/>
      <c r="C109" s="46"/>
      <c r="D109" s="42" t="s">
        <v>144</v>
      </c>
      <c r="E109" s="50">
        <v>1200000</v>
      </c>
      <c r="F109" s="48" t="s">
        <v>2</v>
      </c>
    </row>
    <row r="110" spans="1:7" x14ac:dyDescent="0.25">
      <c r="A110" s="46"/>
      <c r="B110" s="46"/>
      <c r="C110" s="46"/>
      <c r="D110" s="42" t="s">
        <v>144</v>
      </c>
      <c r="E110" s="50">
        <v>1500000</v>
      </c>
      <c r="F110" s="48" t="s">
        <v>426</v>
      </c>
    </row>
    <row r="111" spans="1:7" x14ac:dyDescent="0.25">
      <c r="A111" s="3">
        <v>1</v>
      </c>
      <c r="B111" s="3">
        <v>3</v>
      </c>
      <c r="C111" s="34" t="s">
        <v>122</v>
      </c>
      <c r="D111" s="2" t="s">
        <v>30</v>
      </c>
      <c r="E111" s="35">
        <f>SUM(E112:E113)</f>
        <v>4000000</v>
      </c>
      <c r="F111" s="3" t="s">
        <v>1</v>
      </c>
    </row>
    <row r="112" spans="1:7" x14ac:dyDescent="0.25">
      <c r="A112" s="46"/>
      <c r="B112" s="46"/>
      <c r="C112" s="46"/>
      <c r="D112" s="42" t="s">
        <v>148</v>
      </c>
      <c r="E112" s="50">
        <v>4000000</v>
      </c>
      <c r="F112" s="74"/>
    </row>
    <row r="113" spans="1:6" hidden="1" x14ac:dyDescent="0.25">
      <c r="A113" s="46"/>
      <c r="B113" s="46"/>
      <c r="C113" s="46"/>
      <c r="D113" s="42"/>
      <c r="E113" s="50"/>
      <c r="F113" s="74"/>
    </row>
    <row r="114" spans="1:6" ht="15" hidden="1" customHeight="1" x14ac:dyDescent="0.25">
      <c r="A114" s="46"/>
      <c r="B114" s="46"/>
      <c r="C114" s="46"/>
      <c r="D114" s="42" t="s">
        <v>145</v>
      </c>
      <c r="E114" s="50">
        <v>0</v>
      </c>
      <c r="F114" s="42"/>
    </row>
    <row r="115" spans="1:6" ht="15" hidden="1" customHeight="1" x14ac:dyDescent="0.25">
      <c r="A115" s="46"/>
      <c r="B115" s="46"/>
      <c r="C115" s="46"/>
      <c r="D115" s="42" t="s">
        <v>128</v>
      </c>
      <c r="E115" s="50">
        <v>0</v>
      </c>
      <c r="F115" s="42"/>
    </row>
    <row r="116" spans="1:6" ht="15" hidden="1" customHeight="1" x14ac:dyDescent="0.25">
      <c r="A116" s="46"/>
      <c r="B116" s="46"/>
      <c r="C116" s="46"/>
      <c r="D116" s="42" t="s">
        <v>129</v>
      </c>
      <c r="E116" s="50">
        <v>0</v>
      </c>
      <c r="F116" s="63"/>
    </row>
    <row r="117" spans="1:6" ht="15" hidden="1" customHeight="1" x14ac:dyDescent="0.25">
      <c r="A117" s="46"/>
      <c r="B117" s="46"/>
      <c r="C117" s="46"/>
      <c r="D117" s="46" t="s">
        <v>150</v>
      </c>
      <c r="E117" s="75">
        <v>0</v>
      </c>
      <c r="F117" s="5"/>
    </row>
    <row r="118" spans="1:6" ht="30" x14ac:dyDescent="0.25">
      <c r="A118" s="68">
        <v>1</v>
      </c>
      <c r="B118" s="68">
        <v>4</v>
      </c>
      <c r="C118" s="68"/>
      <c r="D118" s="9" t="s">
        <v>31</v>
      </c>
      <c r="E118" s="33">
        <f>E119+E122+E125+E132+E138+E141</f>
        <v>47200000</v>
      </c>
      <c r="F118" s="68"/>
    </row>
    <row r="119" spans="1:6" ht="30" x14ac:dyDescent="0.25">
      <c r="A119" s="3">
        <v>1</v>
      </c>
      <c r="B119" s="3">
        <v>4</v>
      </c>
      <c r="C119" s="34" t="s">
        <v>85</v>
      </c>
      <c r="D119" s="2" t="s">
        <v>32</v>
      </c>
      <c r="E119" s="35">
        <f>SUM(E120:E121)</f>
        <v>3500000</v>
      </c>
      <c r="F119" s="3" t="s">
        <v>111</v>
      </c>
    </row>
    <row r="120" spans="1:6" x14ac:dyDescent="0.25">
      <c r="A120" s="46"/>
      <c r="B120" s="46"/>
      <c r="C120" s="46"/>
      <c r="D120" s="48" t="s">
        <v>128</v>
      </c>
      <c r="E120" s="49">
        <v>3500000</v>
      </c>
      <c r="F120" s="48" t="s">
        <v>111</v>
      </c>
    </row>
    <row r="121" spans="1:6" hidden="1" x14ac:dyDescent="0.25">
      <c r="A121" s="46"/>
      <c r="B121" s="46"/>
      <c r="C121" s="46"/>
      <c r="D121" s="48" t="s">
        <v>151</v>
      </c>
      <c r="E121" s="49">
        <v>0</v>
      </c>
      <c r="F121" s="48" t="s">
        <v>1</v>
      </c>
    </row>
    <row r="122" spans="1:6" x14ac:dyDescent="0.25">
      <c r="A122" s="5">
        <v>1</v>
      </c>
      <c r="B122" s="5">
        <v>4</v>
      </c>
      <c r="C122" s="53" t="s">
        <v>89</v>
      </c>
      <c r="D122" s="5" t="s">
        <v>33</v>
      </c>
      <c r="E122" s="54">
        <f>SUM(E123:E124)</f>
        <v>3000000</v>
      </c>
      <c r="F122" s="5" t="s">
        <v>1</v>
      </c>
    </row>
    <row r="123" spans="1:6" x14ac:dyDescent="0.25">
      <c r="A123" s="5"/>
      <c r="B123" s="5"/>
      <c r="C123" s="53"/>
      <c r="D123" s="48" t="s">
        <v>128</v>
      </c>
      <c r="E123" s="49">
        <v>3000000</v>
      </c>
      <c r="F123" s="48" t="s">
        <v>1</v>
      </c>
    </row>
    <row r="124" spans="1:6" hidden="1" x14ac:dyDescent="0.25">
      <c r="A124" s="5"/>
      <c r="B124" s="5"/>
      <c r="C124" s="53"/>
      <c r="D124" s="48" t="s">
        <v>145</v>
      </c>
      <c r="E124" s="49">
        <v>0</v>
      </c>
      <c r="F124" s="48" t="s">
        <v>1</v>
      </c>
    </row>
    <row r="125" spans="1:6" ht="35.25" customHeight="1" x14ac:dyDescent="0.25">
      <c r="A125" s="3">
        <v>1</v>
      </c>
      <c r="B125" s="3">
        <v>4</v>
      </c>
      <c r="C125" s="34" t="s">
        <v>98</v>
      </c>
      <c r="D125" s="2" t="s">
        <v>34</v>
      </c>
      <c r="E125" s="35">
        <f>SUM(E126:E131)</f>
        <v>8500000</v>
      </c>
      <c r="F125" s="2" t="s">
        <v>1</v>
      </c>
    </row>
    <row r="126" spans="1:6" hidden="1" x14ac:dyDescent="0.25">
      <c r="A126" s="46"/>
      <c r="B126" s="46"/>
      <c r="C126" s="46"/>
      <c r="D126" s="42" t="s">
        <v>152</v>
      </c>
      <c r="E126" s="50">
        <v>0</v>
      </c>
      <c r="F126" s="42" t="s">
        <v>6</v>
      </c>
    </row>
    <row r="127" spans="1:6" x14ac:dyDescent="0.25">
      <c r="A127" s="46"/>
      <c r="B127" s="46"/>
      <c r="C127" s="46"/>
      <c r="D127" s="42" t="s">
        <v>128</v>
      </c>
      <c r="E127" s="50">
        <v>1000000</v>
      </c>
      <c r="F127" s="42" t="s">
        <v>1</v>
      </c>
    </row>
    <row r="128" spans="1:6" x14ac:dyDescent="0.25">
      <c r="A128" s="46"/>
      <c r="B128" s="46"/>
      <c r="C128" s="46"/>
      <c r="D128" s="42" t="s">
        <v>153</v>
      </c>
      <c r="E128" s="49">
        <v>6000000</v>
      </c>
      <c r="F128" s="42" t="s">
        <v>1</v>
      </c>
    </row>
    <row r="129" spans="1:9" x14ac:dyDescent="0.25">
      <c r="A129" s="46"/>
      <c r="B129" s="46"/>
      <c r="C129" s="46"/>
      <c r="D129" s="42" t="s">
        <v>154</v>
      </c>
      <c r="E129" s="49">
        <v>1500000</v>
      </c>
      <c r="F129" s="42" t="s">
        <v>426</v>
      </c>
    </row>
    <row r="130" spans="1:9" hidden="1" x14ac:dyDescent="0.25">
      <c r="A130" s="46"/>
      <c r="B130" s="46"/>
      <c r="C130" s="46"/>
      <c r="D130" s="42" t="s">
        <v>155</v>
      </c>
      <c r="E130" s="49">
        <v>0</v>
      </c>
      <c r="F130" s="42" t="s">
        <v>1</v>
      </c>
    </row>
    <row r="131" spans="1:9" hidden="1" x14ac:dyDescent="0.25">
      <c r="A131" s="46"/>
      <c r="B131" s="46"/>
      <c r="C131" s="46"/>
      <c r="D131" s="42" t="s">
        <v>129</v>
      </c>
      <c r="E131" s="49">
        <v>0</v>
      </c>
      <c r="F131" s="42" t="s">
        <v>9</v>
      </c>
    </row>
    <row r="132" spans="1:9" x14ac:dyDescent="0.25">
      <c r="A132" s="5">
        <v>1</v>
      </c>
      <c r="B132" s="5">
        <v>4</v>
      </c>
      <c r="C132" s="53" t="s">
        <v>109</v>
      </c>
      <c r="D132" s="5" t="s">
        <v>35</v>
      </c>
      <c r="E132" s="54">
        <f>SUM(E133:E137)</f>
        <v>22400000</v>
      </c>
      <c r="F132" s="5" t="s">
        <v>508</v>
      </c>
    </row>
    <row r="133" spans="1:9" x14ac:dyDescent="0.25">
      <c r="A133" s="46"/>
      <c r="B133" s="46"/>
      <c r="C133" s="46"/>
      <c r="D133" s="42" t="s">
        <v>157</v>
      </c>
      <c r="E133" s="50">
        <v>20400000</v>
      </c>
      <c r="F133" s="42" t="s">
        <v>0</v>
      </c>
      <c r="H133">
        <f>1700*3</f>
        <v>5100</v>
      </c>
    </row>
    <row r="134" spans="1:9" x14ac:dyDescent="0.25">
      <c r="A134" s="46"/>
      <c r="B134" s="46"/>
      <c r="C134" s="46"/>
      <c r="D134" s="42" t="s">
        <v>157</v>
      </c>
      <c r="E134" s="51">
        <v>0</v>
      </c>
      <c r="F134" s="52" t="s">
        <v>6</v>
      </c>
      <c r="H134" s="173">
        <f>SUM(E133:E134)</f>
        <v>20400000</v>
      </c>
    </row>
    <row r="135" spans="1:9" hidden="1" x14ac:dyDescent="0.25">
      <c r="A135" s="46"/>
      <c r="B135" s="46"/>
      <c r="C135" s="46"/>
      <c r="D135" s="42" t="s">
        <v>158</v>
      </c>
      <c r="E135" s="50">
        <v>0</v>
      </c>
      <c r="F135" s="42" t="s">
        <v>1</v>
      </c>
    </row>
    <row r="136" spans="1:9" x14ac:dyDescent="0.25">
      <c r="A136" s="46"/>
      <c r="B136" s="46"/>
      <c r="C136" s="46"/>
      <c r="D136" s="42" t="s">
        <v>128</v>
      </c>
      <c r="E136" s="50">
        <v>2000000</v>
      </c>
      <c r="F136" s="42" t="s">
        <v>2</v>
      </c>
    </row>
    <row r="137" spans="1:9" hidden="1" x14ac:dyDescent="0.25">
      <c r="A137" s="46"/>
      <c r="B137" s="46"/>
      <c r="C137" s="46"/>
      <c r="D137" s="42" t="s">
        <v>149</v>
      </c>
      <c r="E137" s="50">
        <v>0</v>
      </c>
      <c r="F137" s="42" t="s">
        <v>1</v>
      </c>
    </row>
    <row r="138" spans="1:9" ht="30" x14ac:dyDescent="0.25">
      <c r="A138" s="3">
        <v>1</v>
      </c>
      <c r="B138" s="3">
        <v>4</v>
      </c>
      <c r="C138" s="34" t="s">
        <v>159</v>
      </c>
      <c r="D138" s="2" t="s">
        <v>36</v>
      </c>
      <c r="E138" s="35">
        <f>SUM(E139:E140)</f>
        <v>2000000</v>
      </c>
      <c r="F138" s="3" t="s">
        <v>1</v>
      </c>
    </row>
    <row r="139" spans="1:9" x14ac:dyDescent="0.25">
      <c r="A139" s="46"/>
      <c r="B139" s="46"/>
      <c r="C139" s="46"/>
      <c r="D139" s="42" t="s">
        <v>128</v>
      </c>
      <c r="E139" s="50">
        <v>1000000</v>
      </c>
      <c r="F139" s="76"/>
    </row>
    <row r="140" spans="1:9" x14ac:dyDescent="0.25">
      <c r="A140" s="46"/>
      <c r="B140" s="46"/>
      <c r="C140" s="46"/>
      <c r="D140" s="42" t="s">
        <v>152</v>
      </c>
      <c r="E140" s="50">
        <v>1000000</v>
      </c>
      <c r="F140" s="76"/>
    </row>
    <row r="141" spans="1:9" x14ac:dyDescent="0.25">
      <c r="A141" s="5">
        <v>1</v>
      </c>
      <c r="B141" s="5">
        <v>4</v>
      </c>
      <c r="C141" s="53" t="s">
        <v>160</v>
      </c>
      <c r="D141" s="5" t="s">
        <v>37</v>
      </c>
      <c r="E141" s="54">
        <f>SUM(E142:E144)</f>
        <v>7800000</v>
      </c>
      <c r="F141" s="5" t="s">
        <v>424</v>
      </c>
      <c r="H141" s="173">
        <f>E141-2171482.87</f>
        <v>5628517.1299999999</v>
      </c>
    </row>
    <row r="142" spans="1:9" x14ac:dyDescent="0.25">
      <c r="A142" s="46"/>
      <c r="B142" s="46"/>
      <c r="C142" s="46"/>
      <c r="D142" s="46" t="s">
        <v>161</v>
      </c>
      <c r="E142" s="50">
        <v>7800000</v>
      </c>
      <c r="F142" s="42" t="s">
        <v>424</v>
      </c>
      <c r="H142" s="173">
        <f>E142/12</f>
        <v>650000</v>
      </c>
      <c r="I142">
        <f>7800000-75000</f>
        <v>7725000</v>
      </c>
    </row>
    <row r="143" spans="1:9" hidden="1" x14ac:dyDescent="0.25">
      <c r="A143" s="46"/>
      <c r="B143" s="46"/>
      <c r="C143" s="46"/>
      <c r="D143" s="77" t="s">
        <v>162</v>
      </c>
      <c r="E143" s="49">
        <v>0</v>
      </c>
      <c r="F143" s="77"/>
    </row>
    <row r="144" spans="1:9" hidden="1" x14ac:dyDescent="0.25">
      <c r="A144" s="46"/>
      <c r="B144" s="46"/>
      <c r="C144" s="46"/>
      <c r="D144" s="46" t="s">
        <v>129</v>
      </c>
      <c r="E144" s="75">
        <v>0</v>
      </c>
      <c r="F144" s="46" t="s">
        <v>6</v>
      </c>
    </row>
    <row r="145" spans="1:7" ht="37.5" hidden="1" customHeight="1" x14ac:dyDescent="0.25">
      <c r="A145" s="3">
        <v>1</v>
      </c>
      <c r="B145" s="3">
        <v>4</v>
      </c>
      <c r="C145" s="34" t="s">
        <v>163</v>
      </c>
      <c r="D145" s="78" t="s">
        <v>164</v>
      </c>
      <c r="E145" s="35">
        <f>E146</f>
        <v>0</v>
      </c>
      <c r="F145" s="3"/>
    </row>
    <row r="146" spans="1:7" hidden="1" x14ac:dyDescent="0.25">
      <c r="A146" s="46"/>
      <c r="B146" s="46"/>
      <c r="C146" s="46"/>
      <c r="D146" s="46" t="s">
        <v>165</v>
      </c>
      <c r="E146" s="75"/>
      <c r="F146" s="46"/>
    </row>
    <row r="147" spans="1:7" hidden="1" x14ac:dyDescent="0.25">
      <c r="A147" s="46"/>
      <c r="B147" s="46"/>
      <c r="C147" s="46"/>
      <c r="D147" s="46"/>
      <c r="E147" s="75"/>
      <c r="F147" s="46"/>
    </row>
    <row r="148" spans="1:7" hidden="1" x14ac:dyDescent="0.25">
      <c r="A148" s="8">
        <v>1</v>
      </c>
      <c r="B148" s="8">
        <v>5</v>
      </c>
      <c r="C148" s="8"/>
      <c r="D148" s="10" t="s">
        <v>38</v>
      </c>
      <c r="E148" s="57">
        <f>E149+E152+E154</f>
        <v>0</v>
      </c>
      <c r="F148" s="8"/>
    </row>
    <row r="149" spans="1:7" ht="29.25" hidden="1" customHeight="1" x14ac:dyDescent="0.25">
      <c r="A149" s="3">
        <v>1</v>
      </c>
      <c r="B149" s="3">
        <v>5</v>
      </c>
      <c r="C149" s="34" t="s">
        <v>98</v>
      </c>
      <c r="D149" s="2" t="s">
        <v>39</v>
      </c>
      <c r="E149" s="35">
        <f>SUM(E150:E151)</f>
        <v>0</v>
      </c>
      <c r="F149" s="3" t="s">
        <v>1</v>
      </c>
    </row>
    <row r="150" spans="1:7" hidden="1" x14ac:dyDescent="0.25">
      <c r="A150" s="46"/>
      <c r="B150" s="46"/>
      <c r="C150" s="46"/>
      <c r="D150" s="42" t="s">
        <v>144</v>
      </c>
      <c r="E150" s="50">
        <v>0</v>
      </c>
      <c r="F150" s="42"/>
    </row>
    <row r="151" spans="1:7" hidden="1" x14ac:dyDescent="0.25">
      <c r="A151" s="46"/>
      <c r="B151" s="46"/>
      <c r="C151" s="46"/>
      <c r="D151" s="42" t="s">
        <v>166</v>
      </c>
      <c r="E151" s="50">
        <v>0</v>
      </c>
      <c r="F151" s="42"/>
    </row>
    <row r="152" spans="1:7" hidden="1" x14ac:dyDescent="0.25">
      <c r="A152" s="5">
        <v>1</v>
      </c>
      <c r="B152" s="5">
        <v>5</v>
      </c>
      <c r="C152" s="53" t="s">
        <v>125</v>
      </c>
      <c r="D152" s="79" t="s">
        <v>40</v>
      </c>
      <c r="E152" s="64">
        <f>E153</f>
        <v>0</v>
      </c>
      <c r="F152" s="63" t="s">
        <v>1</v>
      </c>
    </row>
    <row r="153" spans="1:7" hidden="1" x14ac:dyDescent="0.25">
      <c r="A153" s="5"/>
      <c r="B153" s="5"/>
      <c r="C153" s="53"/>
      <c r="D153" s="80" t="s">
        <v>167</v>
      </c>
      <c r="E153" s="50">
        <v>0</v>
      </c>
      <c r="F153" s="42"/>
    </row>
    <row r="154" spans="1:7" hidden="1" x14ac:dyDescent="0.25">
      <c r="A154" s="3">
        <v>1</v>
      </c>
      <c r="B154" s="81">
        <v>5</v>
      </c>
      <c r="C154" s="82" t="s">
        <v>159</v>
      </c>
      <c r="D154" s="83" t="s">
        <v>168</v>
      </c>
      <c r="E154" s="84">
        <f>E155</f>
        <v>0</v>
      </c>
      <c r="F154" s="81" t="s">
        <v>169</v>
      </c>
    </row>
    <row r="155" spans="1:7" hidden="1" x14ac:dyDescent="0.25">
      <c r="A155" s="46"/>
      <c r="B155" s="85"/>
      <c r="C155" s="85"/>
      <c r="D155" s="86" t="s">
        <v>170</v>
      </c>
      <c r="E155" s="87">
        <v>0</v>
      </c>
      <c r="F155" s="85"/>
    </row>
    <row r="156" spans="1:7" x14ac:dyDescent="0.25">
      <c r="A156" s="11">
        <v>2</v>
      </c>
      <c r="B156" s="11"/>
      <c r="C156" s="11"/>
      <c r="D156" s="11" t="s">
        <v>41</v>
      </c>
      <c r="E156" s="88">
        <f>E157+E195+E251+E274+E306+E313+E327+E328</f>
        <v>932222000</v>
      </c>
      <c r="F156" s="11"/>
    </row>
    <row r="157" spans="1:7" x14ac:dyDescent="0.25">
      <c r="A157" s="8">
        <v>2</v>
      </c>
      <c r="B157" s="8">
        <v>1</v>
      </c>
      <c r="C157" s="8"/>
      <c r="D157" s="10" t="s">
        <v>42</v>
      </c>
      <c r="E157" s="57">
        <f>E158+E166+E168+E170+E175+E178+E181+E188+E193</f>
        <v>132622000</v>
      </c>
      <c r="F157" s="8"/>
    </row>
    <row r="158" spans="1:7" ht="36" customHeight="1" x14ac:dyDescent="0.25">
      <c r="A158" s="3">
        <v>2</v>
      </c>
      <c r="B158" s="3">
        <v>1</v>
      </c>
      <c r="C158" s="34" t="s">
        <v>85</v>
      </c>
      <c r="D158" s="2" t="s">
        <v>43</v>
      </c>
      <c r="E158" s="35">
        <f>SUM(E159:E162)</f>
        <v>32400000</v>
      </c>
      <c r="F158" s="2" t="s">
        <v>3</v>
      </c>
    </row>
    <row r="159" spans="1:7" x14ac:dyDescent="0.25">
      <c r="A159" s="46"/>
      <c r="B159" s="46"/>
      <c r="C159" s="46"/>
      <c r="D159" s="42" t="s">
        <v>171</v>
      </c>
      <c r="E159" s="50">
        <v>18000000</v>
      </c>
      <c r="F159" s="42" t="s">
        <v>3</v>
      </c>
      <c r="G159" s="173">
        <f>E159/12</f>
        <v>1500000</v>
      </c>
    </row>
    <row r="160" spans="1:7" x14ac:dyDescent="0.25">
      <c r="A160" s="46"/>
      <c r="B160" s="46"/>
      <c r="C160" s="46"/>
      <c r="D160" s="42" t="s">
        <v>435</v>
      </c>
      <c r="E160" s="50">
        <v>12000000</v>
      </c>
      <c r="F160" s="42" t="s">
        <v>3</v>
      </c>
      <c r="G160" s="173">
        <f>E160/12</f>
        <v>1000000</v>
      </c>
    </row>
    <row r="161" spans="1:8" x14ac:dyDescent="0.25">
      <c r="A161" s="46"/>
      <c r="B161" s="46"/>
      <c r="C161" s="46"/>
      <c r="D161" s="42" t="s">
        <v>173</v>
      </c>
      <c r="E161" s="50">
        <v>1200000</v>
      </c>
      <c r="F161" s="42" t="s">
        <v>3</v>
      </c>
    </row>
    <row r="162" spans="1:8" x14ac:dyDescent="0.25">
      <c r="A162" s="46"/>
      <c r="B162" s="46"/>
      <c r="C162" s="46"/>
      <c r="D162" s="42" t="s">
        <v>174</v>
      </c>
      <c r="E162" s="50">
        <v>1200000</v>
      </c>
      <c r="F162" s="42" t="s">
        <v>3</v>
      </c>
    </row>
    <row r="163" spans="1:8" hidden="1" x14ac:dyDescent="0.25">
      <c r="A163" s="5">
        <v>2</v>
      </c>
      <c r="B163" s="5">
        <v>1</v>
      </c>
      <c r="C163" s="53" t="s">
        <v>89</v>
      </c>
      <c r="D163" s="5" t="s">
        <v>175</v>
      </c>
      <c r="E163" s="54"/>
      <c r="F163" s="5"/>
    </row>
    <row r="164" spans="1:8" hidden="1" x14ac:dyDescent="0.25">
      <c r="A164" s="5"/>
      <c r="B164" s="5"/>
      <c r="C164" s="53"/>
      <c r="D164" s="5"/>
      <c r="E164" s="54"/>
      <c r="F164" s="5"/>
    </row>
    <row r="165" spans="1:8" hidden="1" x14ac:dyDescent="0.25">
      <c r="A165" s="5"/>
      <c r="B165" s="5"/>
      <c r="C165" s="53"/>
      <c r="D165" s="5"/>
      <c r="E165" s="54"/>
      <c r="F165" s="5"/>
    </row>
    <row r="166" spans="1:8" hidden="1" x14ac:dyDescent="0.25">
      <c r="A166" s="89">
        <v>2</v>
      </c>
      <c r="B166" s="89">
        <v>1</v>
      </c>
      <c r="C166" s="90" t="s">
        <v>98</v>
      </c>
      <c r="D166" s="89" t="s">
        <v>176</v>
      </c>
      <c r="E166" s="91">
        <f>E167</f>
        <v>0</v>
      </c>
      <c r="F166" s="5" t="s">
        <v>3</v>
      </c>
    </row>
    <row r="167" spans="1:8" hidden="1" x14ac:dyDescent="0.25">
      <c r="A167" s="89"/>
      <c r="B167" s="89"/>
      <c r="C167" s="90"/>
      <c r="D167" s="48" t="s">
        <v>177</v>
      </c>
      <c r="E167" s="49">
        <v>0</v>
      </c>
      <c r="F167" s="5"/>
    </row>
    <row r="168" spans="1:8" ht="29.25" customHeight="1" x14ac:dyDescent="0.25">
      <c r="A168" s="3">
        <v>2</v>
      </c>
      <c r="B168" s="3">
        <v>1</v>
      </c>
      <c r="C168" s="34" t="s">
        <v>109</v>
      </c>
      <c r="D168" s="2" t="s">
        <v>44</v>
      </c>
      <c r="E168" s="35">
        <f>E169</f>
        <v>2000000</v>
      </c>
      <c r="F168" s="3" t="s">
        <v>1</v>
      </c>
    </row>
    <row r="169" spans="1:8" ht="18.75" customHeight="1" x14ac:dyDescent="0.25">
      <c r="A169" s="5"/>
      <c r="B169" s="5"/>
      <c r="C169" s="53"/>
      <c r="D169" s="71" t="s">
        <v>178</v>
      </c>
      <c r="E169" s="50">
        <v>2000000</v>
      </c>
      <c r="F169" s="92"/>
    </row>
    <row r="170" spans="1:8" ht="30" x14ac:dyDescent="0.25">
      <c r="A170" s="3">
        <v>2</v>
      </c>
      <c r="B170" s="3">
        <v>1</v>
      </c>
      <c r="C170" s="34" t="s">
        <v>122</v>
      </c>
      <c r="D170" s="2" t="s">
        <v>45</v>
      </c>
      <c r="E170" s="35">
        <f>E171+E172</f>
        <v>2000000</v>
      </c>
      <c r="F170" s="3" t="s">
        <v>6</v>
      </c>
    </row>
    <row r="171" spans="1:8" x14ac:dyDescent="0.25">
      <c r="A171" s="3"/>
      <c r="B171" s="3"/>
      <c r="C171" s="34"/>
      <c r="D171" s="43" t="s">
        <v>179</v>
      </c>
      <c r="E171" s="37">
        <v>2000000</v>
      </c>
      <c r="F171" s="36" t="s">
        <v>6</v>
      </c>
      <c r="G171" s="185" t="s">
        <v>9</v>
      </c>
    </row>
    <row r="172" spans="1:8" x14ac:dyDescent="0.25">
      <c r="A172" s="3"/>
      <c r="B172" s="3"/>
      <c r="C172" s="34"/>
      <c r="D172" s="43" t="s">
        <v>179</v>
      </c>
      <c r="E172" s="37">
        <v>0</v>
      </c>
      <c r="F172" s="36"/>
      <c r="G172" s="185" t="s">
        <v>433</v>
      </c>
    </row>
    <row r="173" spans="1:8" hidden="1" x14ac:dyDescent="0.25">
      <c r="A173" s="3"/>
      <c r="B173" s="3"/>
      <c r="C173" s="34"/>
      <c r="D173" s="43" t="s">
        <v>180</v>
      </c>
      <c r="E173" s="37">
        <v>0</v>
      </c>
      <c r="F173" s="36"/>
    </row>
    <row r="174" spans="1:8" hidden="1" x14ac:dyDescent="0.25">
      <c r="A174" s="3"/>
      <c r="B174" s="3"/>
      <c r="C174" s="34"/>
      <c r="D174" s="43" t="s">
        <v>181</v>
      </c>
      <c r="E174" s="37">
        <v>0</v>
      </c>
      <c r="F174" s="36"/>
    </row>
    <row r="175" spans="1:8" s="185" customFormat="1" ht="45" x14ac:dyDescent="0.25">
      <c r="A175" s="3">
        <v>2</v>
      </c>
      <c r="B175" s="3">
        <v>1</v>
      </c>
      <c r="C175" s="34" t="s">
        <v>125</v>
      </c>
      <c r="D175" s="2" t="s">
        <v>182</v>
      </c>
      <c r="E175" s="35">
        <f>SUM(E176:E177)</f>
        <v>43000000</v>
      </c>
      <c r="F175" s="3" t="s">
        <v>3</v>
      </c>
      <c r="G175" t="s">
        <v>3</v>
      </c>
    </row>
    <row r="176" spans="1:8" x14ac:dyDescent="0.25">
      <c r="A176" s="3"/>
      <c r="B176" s="3"/>
      <c r="C176" s="34"/>
      <c r="D176" s="43" t="s">
        <v>464</v>
      </c>
      <c r="E176" s="37">
        <v>23000000</v>
      </c>
      <c r="F176" s="36"/>
      <c r="H176" s="173">
        <v>7500000</v>
      </c>
    </row>
    <row r="177" spans="1:9" x14ac:dyDescent="0.25">
      <c r="A177" s="3"/>
      <c r="B177" s="3"/>
      <c r="C177" s="34"/>
      <c r="D177" s="43" t="s">
        <v>463</v>
      </c>
      <c r="E177" s="37">
        <v>20000000</v>
      </c>
      <c r="F177" s="76"/>
      <c r="H177" s="164">
        <v>7500000</v>
      </c>
    </row>
    <row r="178" spans="1:9" s="185" customFormat="1" ht="30" hidden="1" x14ac:dyDescent="0.25">
      <c r="A178" s="3">
        <v>2</v>
      </c>
      <c r="B178" s="3">
        <v>1</v>
      </c>
      <c r="C178" s="34" t="s">
        <v>159</v>
      </c>
      <c r="D178" s="2" t="s">
        <v>188</v>
      </c>
      <c r="E178" s="35">
        <f>SUM(E179:E180)</f>
        <v>0</v>
      </c>
      <c r="F178" s="3" t="s">
        <v>3</v>
      </c>
      <c r="H178" s="255"/>
    </row>
    <row r="179" spans="1:9" hidden="1" x14ac:dyDescent="0.25">
      <c r="A179" s="3"/>
      <c r="B179" s="3"/>
      <c r="C179" s="34"/>
      <c r="D179" s="43" t="s">
        <v>189</v>
      </c>
      <c r="E179" s="37">
        <v>0</v>
      </c>
      <c r="F179" s="3"/>
      <c r="H179" s="164"/>
    </row>
    <row r="180" spans="1:9" hidden="1" x14ac:dyDescent="0.25">
      <c r="A180" s="3"/>
      <c r="B180" s="3"/>
      <c r="C180" s="34"/>
      <c r="D180" s="43" t="s">
        <v>190</v>
      </c>
      <c r="E180" s="37">
        <v>0</v>
      </c>
      <c r="F180" s="3"/>
      <c r="H180" s="164"/>
    </row>
    <row r="181" spans="1:9" x14ac:dyDescent="0.25">
      <c r="A181" s="5">
        <v>2</v>
      </c>
      <c r="B181" s="5">
        <v>1</v>
      </c>
      <c r="C181" s="53" t="s">
        <v>160</v>
      </c>
      <c r="D181" s="12" t="s">
        <v>46</v>
      </c>
      <c r="E181" s="54">
        <f>SUM(E182:E187)</f>
        <v>37322000</v>
      </c>
      <c r="F181" s="5" t="s">
        <v>458</v>
      </c>
      <c r="G181" t="s">
        <v>458</v>
      </c>
      <c r="H181" s="164">
        <v>8000000</v>
      </c>
    </row>
    <row r="182" spans="1:9" x14ac:dyDescent="0.25">
      <c r="A182" s="5"/>
      <c r="B182" s="5"/>
      <c r="C182" s="53"/>
      <c r="D182" s="71" t="s">
        <v>191</v>
      </c>
      <c r="E182" s="50">
        <v>28800000</v>
      </c>
      <c r="F182" s="42" t="s">
        <v>3</v>
      </c>
      <c r="G182" t="s">
        <v>3</v>
      </c>
      <c r="H182" s="164">
        <f>SUM(H176:H181)</f>
        <v>23000000</v>
      </c>
      <c r="I182" s="1">
        <f>H182*11%</f>
        <v>2530000</v>
      </c>
    </row>
    <row r="183" spans="1:9" hidden="1" x14ac:dyDescent="0.25">
      <c r="A183" s="5"/>
      <c r="B183" s="5"/>
      <c r="C183" s="53"/>
      <c r="D183" s="71" t="s">
        <v>192</v>
      </c>
      <c r="E183" s="50">
        <v>0</v>
      </c>
      <c r="F183" s="42"/>
      <c r="I183" s="1"/>
    </row>
    <row r="184" spans="1:9" x14ac:dyDescent="0.25">
      <c r="A184" s="5"/>
      <c r="B184" s="5"/>
      <c r="C184" s="53"/>
      <c r="D184" s="71" t="s">
        <v>149</v>
      </c>
      <c r="E184" s="50">
        <v>2000000</v>
      </c>
      <c r="F184" s="42" t="s">
        <v>0</v>
      </c>
      <c r="G184" t="s">
        <v>0</v>
      </c>
      <c r="I184" s="1">
        <f>H182*1.5%</f>
        <v>345000</v>
      </c>
    </row>
    <row r="185" spans="1:9" ht="12.75" customHeight="1" x14ac:dyDescent="0.25">
      <c r="A185" s="5"/>
      <c r="B185" s="5"/>
      <c r="C185" s="53"/>
      <c r="D185" s="71" t="s">
        <v>193</v>
      </c>
      <c r="E185" s="50">
        <v>522000</v>
      </c>
      <c r="F185" s="42" t="s">
        <v>3</v>
      </c>
      <c r="G185" t="s">
        <v>3</v>
      </c>
      <c r="I185" s="164">
        <f>H182-I182-I184</f>
        <v>20125000</v>
      </c>
    </row>
    <row r="186" spans="1:9" ht="12.75" customHeight="1" x14ac:dyDescent="0.25">
      <c r="A186" s="5"/>
      <c r="B186" s="5"/>
      <c r="C186" s="53"/>
      <c r="D186" s="71" t="s">
        <v>194</v>
      </c>
      <c r="E186" s="50">
        <v>3000000</v>
      </c>
      <c r="F186" s="42" t="s">
        <v>3</v>
      </c>
      <c r="G186" t="s">
        <v>3</v>
      </c>
      <c r="I186" s="1">
        <f>SUM(I182:I185)</f>
        <v>23000000</v>
      </c>
    </row>
    <row r="187" spans="1:9" x14ac:dyDescent="0.25">
      <c r="A187" s="5"/>
      <c r="B187" s="5"/>
      <c r="C187" s="53"/>
      <c r="D187" s="71" t="s">
        <v>195</v>
      </c>
      <c r="E187" s="50">
        <v>3000000</v>
      </c>
      <c r="F187" s="42" t="s">
        <v>3</v>
      </c>
      <c r="G187" t="s">
        <v>3</v>
      </c>
      <c r="H187" s="173">
        <f>E187/12</f>
        <v>250000</v>
      </c>
    </row>
    <row r="188" spans="1:9" x14ac:dyDescent="0.25">
      <c r="A188" s="5">
        <v>2</v>
      </c>
      <c r="B188" s="5">
        <v>1</v>
      </c>
      <c r="C188" s="53" t="s">
        <v>196</v>
      </c>
      <c r="D188" s="12" t="s">
        <v>197</v>
      </c>
      <c r="E188" s="54">
        <f>SUM(E189:E191)</f>
        <v>5900000</v>
      </c>
      <c r="F188" s="5" t="s">
        <v>3</v>
      </c>
      <c r="G188" t="s">
        <v>3</v>
      </c>
    </row>
    <row r="189" spans="1:9" x14ac:dyDescent="0.25">
      <c r="A189" s="5"/>
      <c r="B189" s="5"/>
      <c r="C189" s="53"/>
      <c r="D189" s="71" t="s">
        <v>417</v>
      </c>
      <c r="E189" s="50">
        <v>3000000</v>
      </c>
      <c r="F189" s="42"/>
    </row>
    <row r="190" spans="1:9" x14ac:dyDescent="0.25">
      <c r="A190" s="5"/>
      <c r="B190" s="5"/>
      <c r="C190" s="53"/>
      <c r="D190" s="71" t="s">
        <v>418</v>
      </c>
      <c r="E190" s="50">
        <v>2000000</v>
      </c>
      <c r="F190" s="42"/>
    </row>
    <row r="191" spans="1:9" x14ac:dyDescent="0.25">
      <c r="A191" s="5"/>
      <c r="B191" s="5"/>
      <c r="C191" s="53"/>
      <c r="D191" s="71" t="s">
        <v>419</v>
      </c>
      <c r="E191" s="50">
        <v>900000</v>
      </c>
      <c r="F191" s="42"/>
    </row>
    <row r="192" spans="1:9" hidden="1" x14ac:dyDescent="0.25">
      <c r="A192" s="5"/>
      <c r="B192" s="5"/>
      <c r="C192" s="53"/>
      <c r="D192" s="71" t="s">
        <v>198</v>
      </c>
      <c r="E192" s="50">
        <v>0</v>
      </c>
      <c r="F192" s="5"/>
    </row>
    <row r="193" spans="1:8" x14ac:dyDescent="0.25">
      <c r="A193" s="5">
        <v>2</v>
      </c>
      <c r="B193" s="5">
        <v>1</v>
      </c>
      <c r="C193" s="53" t="s">
        <v>199</v>
      </c>
      <c r="D193" s="12" t="s">
        <v>200</v>
      </c>
      <c r="E193" s="54">
        <f>E194</f>
        <v>10000000</v>
      </c>
      <c r="F193" s="5" t="s">
        <v>3</v>
      </c>
      <c r="G193" t="s">
        <v>3</v>
      </c>
    </row>
    <row r="194" spans="1:8" x14ac:dyDescent="0.25">
      <c r="A194" s="5"/>
      <c r="B194" s="5"/>
      <c r="C194" s="53"/>
      <c r="D194" s="71" t="s">
        <v>201</v>
      </c>
      <c r="E194" s="50">
        <v>10000000</v>
      </c>
      <c r="F194" s="42" t="s">
        <v>432</v>
      </c>
      <c r="G194" t="s">
        <v>432</v>
      </c>
    </row>
    <row r="195" spans="1:8" x14ac:dyDescent="0.25">
      <c r="A195" s="8">
        <v>2</v>
      </c>
      <c r="B195" s="8">
        <v>2</v>
      </c>
      <c r="C195" s="8"/>
      <c r="D195" s="6" t="s">
        <v>47</v>
      </c>
      <c r="E195" s="57">
        <f>E196+E200+E207+E210+E240+E242+E245</f>
        <v>229100000</v>
      </c>
      <c r="F195" s="8" t="s">
        <v>3</v>
      </c>
      <c r="G195" t="s">
        <v>3</v>
      </c>
    </row>
    <row r="196" spans="1:8" x14ac:dyDescent="0.25">
      <c r="A196" s="5">
        <v>2</v>
      </c>
      <c r="B196" s="5">
        <v>2</v>
      </c>
      <c r="C196" s="53" t="s">
        <v>85</v>
      </c>
      <c r="D196" s="12" t="s">
        <v>202</v>
      </c>
      <c r="E196" s="54">
        <f>SUM(E197:E199)</f>
        <v>18000000</v>
      </c>
      <c r="F196" s="5" t="s">
        <v>3</v>
      </c>
    </row>
    <row r="197" spans="1:8" hidden="1" x14ac:dyDescent="0.25">
      <c r="A197" s="46"/>
      <c r="B197" s="46"/>
      <c r="C197" s="46"/>
      <c r="D197" s="71" t="s">
        <v>203</v>
      </c>
      <c r="E197" s="50">
        <v>0</v>
      </c>
      <c r="F197" s="42"/>
    </row>
    <row r="198" spans="1:8" hidden="1" x14ac:dyDescent="0.25">
      <c r="A198" s="46"/>
      <c r="B198" s="46"/>
      <c r="C198" s="46"/>
      <c r="D198" s="71" t="s">
        <v>204</v>
      </c>
      <c r="E198" s="50">
        <v>0</v>
      </c>
      <c r="F198" s="42"/>
    </row>
    <row r="199" spans="1:8" x14ac:dyDescent="0.25">
      <c r="A199" s="46"/>
      <c r="B199" s="46"/>
      <c r="C199" s="46"/>
      <c r="D199" s="71" t="s">
        <v>205</v>
      </c>
      <c r="E199" s="50">
        <v>18000000</v>
      </c>
      <c r="F199" s="42"/>
      <c r="H199">
        <f>1500000*12</f>
        <v>18000000</v>
      </c>
    </row>
    <row r="200" spans="1:8" x14ac:dyDescent="0.25">
      <c r="A200" s="5">
        <v>2</v>
      </c>
      <c r="B200" s="5">
        <v>2</v>
      </c>
      <c r="C200" s="53" t="s">
        <v>89</v>
      </c>
      <c r="D200" s="12" t="s">
        <v>48</v>
      </c>
      <c r="E200" s="54">
        <f>SUM(E201:E206)</f>
        <v>147600000</v>
      </c>
      <c r="F200" s="5" t="s">
        <v>3</v>
      </c>
      <c r="G200" t="s">
        <v>3</v>
      </c>
    </row>
    <row r="201" spans="1:8" x14ac:dyDescent="0.25">
      <c r="A201" s="46"/>
      <c r="B201" s="46"/>
      <c r="C201" s="46"/>
      <c r="D201" s="71" t="s">
        <v>206</v>
      </c>
      <c r="E201" s="50">
        <v>40000000</v>
      </c>
      <c r="F201" s="42" t="s">
        <v>3</v>
      </c>
      <c r="G201" t="s">
        <v>3</v>
      </c>
    </row>
    <row r="202" spans="1:8" x14ac:dyDescent="0.25">
      <c r="A202" s="46"/>
      <c r="B202" s="46"/>
      <c r="C202" s="46"/>
      <c r="D202" s="71" t="s">
        <v>402</v>
      </c>
      <c r="E202" s="50">
        <v>36000000</v>
      </c>
      <c r="F202" s="42" t="s">
        <v>3</v>
      </c>
      <c r="G202" t="s">
        <v>3</v>
      </c>
      <c r="H202">
        <f>200000*15*12</f>
        <v>36000000</v>
      </c>
    </row>
    <row r="203" spans="1:8" hidden="1" x14ac:dyDescent="0.25">
      <c r="A203" s="97"/>
      <c r="B203" s="97"/>
      <c r="C203" s="97"/>
      <c r="D203" s="43" t="s">
        <v>207</v>
      </c>
      <c r="E203" s="37">
        <v>0</v>
      </c>
      <c r="F203" s="36" t="s">
        <v>3</v>
      </c>
    </row>
    <row r="204" spans="1:8" x14ac:dyDescent="0.25">
      <c r="A204" s="46"/>
      <c r="B204" s="46"/>
      <c r="C204" s="46"/>
      <c r="D204" s="98" t="s">
        <v>209</v>
      </c>
      <c r="E204" s="50">
        <v>2000000</v>
      </c>
      <c r="F204" s="42"/>
    </row>
    <row r="205" spans="1:8" x14ac:dyDescent="0.25">
      <c r="A205" s="46"/>
      <c r="B205" s="46"/>
      <c r="C205" s="46"/>
      <c r="D205" s="98" t="s">
        <v>210</v>
      </c>
      <c r="E205" s="50">
        <v>9600000</v>
      </c>
      <c r="F205" s="42" t="s">
        <v>3</v>
      </c>
      <c r="G205" t="s">
        <v>3</v>
      </c>
    </row>
    <row r="206" spans="1:8" ht="16.5" customHeight="1" x14ac:dyDescent="0.25">
      <c r="A206" s="46"/>
      <c r="B206" s="46"/>
      <c r="C206" s="46"/>
      <c r="D206" s="71" t="s">
        <v>211</v>
      </c>
      <c r="E206" s="50">
        <v>60000000</v>
      </c>
      <c r="F206" s="42" t="s">
        <v>3</v>
      </c>
      <c r="G206" t="s">
        <v>3</v>
      </c>
    </row>
    <row r="207" spans="1:8" x14ac:dyDescent="0.25">
      <c r="A207" s="5">
        <v>2</v>
      </c>
      <c r="B207" s="5">
        <v>2</v>
      </c>
      <c r="C207" s="53" t="s">
        <v>98</v>
      </c>
      <c r="D207" s="12" t="s">
        <v>49</v>
      </c>
      <c r="E207" s="54">
        <f>SUM(E208:E209)</f>
        <v>4000000</v>
      </c>
      <c r="F207" s="5" t="s">
        <v>3</v>
      </c>
      <c r="G207" t="s">
        <v>3</v>
      </c>
    </row>
    <row r="208" spans="1:8" x14ac:dyDescent="0.25">
      <c r="A208" s="5"/>
      <c r="B208" s="5"/>
      <c r="C208" s="53"/>
      <c r="D208" s="71" t="s">
        <v>212</v>
      </c>
      <c r="E208" s="50">
        <v>2000000</v>
      </c>
      <c r="F208" s="42"/>
    </row>
    <row r="209" spans="1:6" x14ac:dyDescent="0.25">
      <c r="A209" s="5"/>
      <c r="B209" s="5"/>
      <c r="C209" s="53"/>
      <c r="D209" s="71" t="s">
        <v>213</v>
      </c>
      <c r="E209" s="50">
        <v>2000000</v>
      </c>
      <c r="F209" s="42"/>
    </row>
    <row r="210" spans="1:6" hidden="1" x14ac:dyDescent="0.25">
      <c r="A210" s="5">
        <v>2</v>
      </c>
      <c r="B210" s="5">
        <v>2</v>
      </c>
      <c r="C210" s="53" t="s">
        <v>109</v>
      </c>
      <c r="D210" s="12" t="s">
        <v>50</v>
      </c>
      <c r="E210" s="54">
        <f>E211+E215+E219+E220+E221+E222+E223+E228+E231+E235+E236+E237</f>
        <v>0</v>
      </c>
      <c r="F210" s="5" t="s">
        <v>3</v>
      </c>
    </row>
    <row r="211" spans="1:6" ht="30" hidden="1" x14ac:dyDescent="0.25">
      <c r="A211" s="5"/>
      <c r="B211" s="3"/>
      <c r="C211" s="34"/>
      <c r="D211" s="99" t="s">
        <v>214</v>
      </c>
      <c r="E211" s="100"/>
      <c r="F211" s="76" t="s">
        <v>3</v>
      </c>
    </row>
    <row r="212" spans="1:6" hidden="1" x14ac:dyDescent="0.25">
      <c r="A212" s="5"/>
      <c r="B212" s="3"/>
      <c r="C212" s="34"/>
      <c r="D212" s="101" t="s">
        <v>215</v>
      </c>
      <c r="E212" s="37"/>
      <c r="F212" s="36" t="s">
        <v>3</v>
      </c>
    </row>
    <row r="213" spans="1:6" hidden="1" x14ac:dyDescent="0.25">
      <c r="A213" s="5"/>
      <c r="B213" s="3"/>
      <c r="C213" s="34"/>
      <c r="D213" s="101" t="s">
        <v>216</v>
      </c>
      <c r="E213" s="37"/>
      <c r="F213" s="36" t="s">
        <v>3</v>
      </c>
    </row>
    <row r="214" spans="1:6" hidden="1" x14ac:dyDescent="0.25">
      <c r="A214" s="5"/>
      <c r="B214" s="3"/>
      <c r="C214" s="34"/>
      <c r="D214" s="101" t="s">
        <v>217</v>
      </c>
      <c r="E214" s="37">
        <v>0</v>
      </c>
      <c r="F214" s="36" t="s">
        <v>3</v>
      </c>
    </row>
    <row r="215" spans="1:6" hidden="1" x14ac:dyDescent="0.25">
      <c r="A215" s="5"/>
      <c r="B215" s="3"/>
      <c r="C215" s="34"/>
      <c r="D215" s="102" t="s">
        <v>218</v>
      </c>
      <c r="E215" s="100"/>
      <c r="F215" s="76" t="s">
        <v>3</v>
      </c>
    </row>
    <row r="216" spans="1:6" hidden="1" x14ac:dyDescent="0.25">
      <c r="A216" s="5"/>
      <c r="B216" s="3"/>
      <c r="C216" s="34"/>
      <c r="D216" s="101" t="s">
        <v>219</v>
      </c>
      <c r="E216" s="37"/>
      <c r="F216" s="36" t="s">
        <v>3</v>
      </c>
    </row>
    <row r="217" spans="1:6" hidden="1" x14ac:dyDescent="0.25">
      <c r="A217" s="5"/>
      <c r="B217" s="3"/>
      <c r="C217" s="34"/>
      <c r="D217" s="101" t="s">
        <v>220</v>
      </c>
      <c r="E217" s="37"/>
      <c r="F217" s="36" t="s">
        <v>3</v>
      </c>
    </row>
    <row r="218" spans="1:6" hidden="1" x14ac:dyDescent="0.25">
      <c r="A218" s="5"/>
      <c r="B218" s="3"/>
      <c r="C218" s="34"/>
      <c r="D218" s="101" t="s">
        <v>221</v>
      </c>
      <c r="E218" s="37"/>
      <c r="F218" s="36" t="s">
        <v>3</v>
      </c>
    </row>
    <row r="219" spans="1:6" hidden="1" x14ac:dyDescent="0.25">
      <c r="A219" s="5"/>
      <c r="B219" s="3"/>
      <c r="C219" s="34"/>
      <c r="D219" s="102" t="s">
        <v>222</v>
      </c>
      <c r="E219" s="100"/>
      <c r="F219" s="76" t="s">
        <v>3</v>
      </c>
    </row>
    <row r="220" spans="1:6" hidden="1" x14ac:dyDescent="0.25">
      <c r="A220" s="5"/>
      <c r="B220" s="3"/>
      <c r="C220" s="34"/>
      <c r="D220" s="102" t="s">
        <v>223</v>
      </c>
      <c r="E220" s="100"/>
      <c r="F220" s="76" t="s">
        <v>3</v>
      </c>
    </row>
    <row r="221" spans="1:6" hidden="1" x14ac:dyDescent="0.25">
      <c r="A221" s="5"/>
      <c r="B221" s="3"/>
      <c r="C221" s="34"/>
      <c r="D221" s="102" t="s">
        <v>224</v>
      </c>
      <c r="E221" s="100"/>
      <c r="F221" s="76" t="s">
        <v>3</v>
      </c>
    </row>
    <row r="222" spans="1:6" hidden="1" x14ac:dyDescent="0.25">
      <c r="A222" s="5"/>
      <c r="B222" s="3"/>
      <c r="C222" s="34"/>
      <c r="D222" s="102" t="s">
        <v>225</v>
      </c>
      <c r="E222" s="100"/>
      <c r="F222" s="76" t="s">
        <v>3</v>
      </c>
    </row>
    <row r="223" spans="1:6" hidden="1" x14ac:dyDescent="0.25">
      <c r="A223" s="5"/>
      <c r="B223" s="3"/>
      <c r="C223" s="34"/>
      <c r="D223" s="102" t="s">
        <v>226</v>
      </c>
      <c r="E223" s="100"/>
      <c r="F223" s="76" t="s">
        <v>3</v>
      </c>
    </row>
    <row r="224" spans="1:6" hidden="1" x14ac:dyDescent="0.25">
      <c r="A224" s="5"/>
      <c r="B224" s="3"/>
      <c r="C224" s="34"/>
      <c r="D224" s="101" t="s">
        <v>227</v>
      </c>
      <c r="E224" s="37"/>
      <c r="F224" s="36" t="s">
        <v>3</v>
      </c>
    </row>
    <row r="225" spans="1:7" hidden="1" x14ac:dyDescent="0.25">
      <c r="A225" s="5"/>
      <c r="B225" s="3"/>
      <c r="C225" s="34"/>
      <c r="D225" s="101" t="s">
        <v>228</v>
      </c>
      <c r="E225" s="37"/>
      <c r="F225" s="36" t="s">
        <v>3</v>
      </c>
    </row>
    <row r="226" spans="1:7" hidden="1" x14ac:dyDescent="0.25">
      <c r="A226" s="5"/>
      <c r="B226" s="3"/>
      <c r="C226" s="34"/>
      <c r="D226" s="101" t="s">
        <v>229</v>
      </c>
      <c r="E226" s="37"/>
      <c r="F226" s="36" t="s">
        <v>3</v>
      </c>
    </row>
    <row r="227" spans="1:7" hidden="1" x14ac:dyDescent="0.25">
      <c r="A227" s="53"/>
      <c r="B227" s="3"/>
      <c r="C227" s="34"/>
      <c r="D227" s="101" t="s">
        <v>230</v>
      </c>
      <c r="E227" s="37"/>
      <c r="F227" s="36" t="s">
        <v>3</v>
      </c>
    </row>
    <row r="228" spans="1:7" ht="30" hidden="1" x14ac:dyDescent="0.25">
      <c r="A228" s="53"/>
      <c r="B228" s="3"/>
      <c r="C228" s="34"/>
      <c r="D228" s="102" t="s">
        <v>231</v>
      </c>
      <c r="E228" s="100"/>
      <c r="F228" s="76" t="s">
        <v>3</v>
      </c>
    </row>
    <row r="229" spans="1:7" hidden="1" x14ac:dyDescent="0.25">
      <c r="A229" s="53"/>
      <c r="B229" s="3"/>
      <c r="C229" s="34"/>
      <c r="D229" s="101" t="s">
        <v>232</v>
      </c>
      <c r="E229" s="37"/>
      <c r="F229" s="36" t="s">
        <v>3</v>
      </c>
    </row>
    <row r="230" spans="1:7" hidden="1" x14ac:dyDescent="0.25">
      <c r="A230" s="53"/>
      <c r="B230" s="3"/>
      <c r="C230" s="34"/>
      <c r="D230" s="101" t="s">
        <v>233</v>
      </c>
      <c r="E230" s="37"/>
      <c r="F230" s="36" t="s">
        <v>3</v>
      </c>
    </row>
    <row r="231" spans="1:7" hidden="1" x14ac:dyDescent="0.25">
      <c r="A231" s="5"/>
      <c r="B231" s="3"/>
      <c r="C231" s="34"/>
      <c r="D231" s="99" t="s">
        <v>234</v>
      </c>
      <c r="E231" s="100"/>
      <c r="F231" s="76" t="s">
        <v>3</v>
      </c>
    </row>
    <row r="232" spans="1:7" hidden="1" x14ac:dyDescent="0.25">
      <c r="A232" s="53"/>
      <c r="B232" s="3"/>
      <c r="C232" s="34"/>
      <c r="D232" s="101" t="s">
        <v>209</v>
      </c>
      <c r="E232" s="37"/>
      <c r="F232" s="36" t="s">
        <v>3</v>
      </c>
    </row>
    <row r="233" spans="1:7" hidden="1" x14ac:dyDescent="0.25">
      <c r="A233" s="53"/>
      <c r="B233" s="3"/>
      <c r="C233" s="34"/>
      <c r="D233" s="101" t="s">
        <v>235</v>
      </c>
      <c r="E233" s="37"/>
      <c r="F233" s="36" t="s">
        <v>3</v>
      </c>
    </row>
    <row r="234" spans="1:7" hidden="1" x14ac:dyDescent="0.25">
      <c r="A234" s="5"/>
      <c r="B234" s="3"/>
      <c r="C234" s="34"/>
      <c r="D234" s="101" t="s">
        <v>236</v>
      </c>
      <c r="E234" s="37"/>
      <c r="F234" s="36" t="s">
        <v>3</v>
      </c>
    </row>
    <row r="235" spans="1:7" ht="30" hidden="1" x14ac:dyDescent="0.25">
      <c r="A235" s="5"/>
      <c r="B235" s="3"/>
      <c r="C235" s="34"/>
      <c r="D235" s="102" t="s">
        <v>237</v>
      </c>
      <c r="E235" s="100"/>
      <c r="F235" s="76" t="s">
        <v>3</v>
      </c>
    </row>
    <row r="236" spans="1:7" ht="30" hidden="1" x14ac:dyDescent="0.25">
      <c r="A236" s="5"/>
      <c r="B236" s="3"/>
      <c r="C236" s="34"/>
      <c r="D236" s="102" t="s">
        <v>238</v>
      </c>
      <c r="E236" s="100"/>
      <c r="F236" s="76" t="s">
        <v>3</v>
      </c>
    </row>
    <row r="237" spans="1:7" hidden="1" x14ac:dyDescent="0.25">
      <c r="A237" s="5"/>
      <c r="B237" s="3"/>
      <c r="C237" s="34"/>
      <c r="D237" s="99" t="s">
        <v>239</v>
      </c>
      <c r="E237" s="100">
        <f>SUM(E238:E239)</f>
        <v>0</v>
      </c>
      <c r="F237" s="76" t="s">
        <v>3</v>
      </c>
    </row>
    <row r="238" spans="1:7" hidden="1" x14ac:dyDescent="0.25">
      <c r="A238" s="5"/>
      <c r="B238" s="5"/>
      <c r="C238" s="53"/>
      <c r="D238" s="71" t="s">
        <v>212</v>
      </c>
      <c r="E238" s="50">
        <v>0</v>
      </c>
      <c r="F238" s="42" t="s">
        <v>3</v>
      </c>
    </row>
    <row r="239" spans="1:7" hidden="1" x14ac:dyDescent="0.25">
      <c r="A239" s="5"/>
      <c r="B239" s="5"/>
      <c r="C239" s="53"/>
      <c r="D239" s="71" t="s">
        <v>210</v>
      </c>
      <c r="E239" s="50">
        <v>0</v>
      </c>
      <c r="F239" s="42" t="s">
        <v>3</v>
      </c>
    </row>
    <row r="240" spans="1:7" x14ac:dyDescent="0.25">
      <c r="A240" s="5">
        <v>2</v>
      </c>
      <c r="B240" s="5">
        <v>2</v>
      </c>
      <c r="C240" s="53" t="s">
        <v>125</v>
      </c>
      <c r="D240" s="12" t="s">
        <v>51</v>
      </c>
      <c r="E240" s="54">
        <f>E241</f>
        <v>18000000</v>
      </c>
      <c r="F240" s="5" t="s">
        <v>3</v>
      </c>
      <c r="G240" t="s">
        <v>3</v>
      </c>
    </row>
    <row r="241" spans="1:9" x14ac:dyDescent="0.25">
      <c r="A241" s="46"/>
      <c r="B241" s="46"/>
      <c r="C241" s="46"/>
      <c r="D241" s="71" t="s">
        <v>240</v>
      </c>
      <c r="E241" s="50">
        <v>18000000</v>
      </c>
      <c r="F241" s="42" t="s">
        <v>3</v>
      </c>
      <c r="G241" t="s">
        <v>3</v>
      </c>
    </row>
    <row r="242" spans="1:9" x14ac:dyDescent="0.25">
      <c r="A242" s="5">
        <v>2</v>
      </c>
      <c r="B242" s="5">
        <v>2</v>
      </c>
      <c r="C242" s="53" t="s">
        <v>160</v>
      </c>
      <c r="D242" s="12" t="s">
        <v>241</v>
      </c>
      <c r="E242" s="54">
        <f>E243+E244</f>
        <v>1000000</v>
      </c>
      <c r="F242" s="5" t="s">
        <v>3</v>
      </c>
      <c r="G242" t="s">
        <v>3</v>
      </c>
    </row>
    <row r="243" spans="1:9" x14ac:dyDescent="0.25">
      <c r="A243" s="5"/>
      <c r="B243" s="5"/>
      <c r="C243" s="53"/>
      <c r="D243" s="98" t="s">
        <v>208</v>
      </c>
      <c r="E243" s="50">
        <v>1000000</v>
      </c>
      <c r="F243" s="42" t="s">
        <v>3</v>
      </c>
      <c r="G243" t="s">
        <v>3</v>
      </c>
    </row>
    <row r="244" spans="1:9" x14ac:dyDescent="0.25">
      <c r="A244" s="5"/>
      <c r="B244" s="5"/>
      <c r="C244" s="53"/>
      <c r="D244" s="98" t="s">
        <v>509</v>
      </c>
      <c r="E244" s="50">
        <v>0</v>
      </c>
      <c r="F244" s="42"/>
    </row>
    <row r="245" spans="1:9" s="185" customFormat="1" ht="30" x14ac:dyDescent="0.25">
      <c r="A245" s="3">
        <v>2</v>
      </c>
      <c r="B245" s="3">
        <v>2</v>
      </c>
      <c r="C245" s="34" t="s">
        <v>196</v>
      </c>
      <c r="D245" s="2" t="s">
        <v>242</v>
      </c>
      <c r="E245" s="35">
        <f>E246+E250</f>
        <v>40500000</v>
      </c>
      <c r="F245" s="3" t="s">
        <v>3</v>
      </c>
      <c r="G245" t="s">
        <v>3</v>
      </c>
    </row>
    <row r="246" spans="1:9" x14ac:dyDescent="0.25">
      <c r="A246" s="3"/>
      <c r="B246" s="3"/>
      <c r="C246" s="34"/>
      <c r="D246" s="43" t="s">
        <v>243</v>
      </c>
      <c r="E246" s="37">
        <f>SUM(E247:E249)</f>
        <v>19000000</v>
      </c>
      <c r="F246" s="36" t="s">
        <v>3</v>
      </c>
      <c r="G246" t="s">
        <v>3</v>
      </c>
    </row>
    <row r="247" spans="1:9" x14ac:dyDescent="0.25">
      <c r="A247" s="3"/>
      <c r="B247" s="3"/>
      <c r="C247" s="34"/>
      <c r="D247" s="98" t="s">
        <v>412</v>
      </c>
      <c r="E247" s="51">
        <v>19000000</v>
      </c>
      <c r="F247" s="42"/>
      <c r="I247" s="185"/>
    </row>
    <row r="248" spans="1:9" x14ac:dyDescent="0.25">
      <c r="A248" s="3"/>
      <c r="B248" s="3"/>
      <c r="C248" s="34"/>
      <c r="D248" s="98" t="s">
        <v>411</v>
      </c>
      <c r="E248" s="51">
        <v>0</v>
      </c>
      <c r="F248" s="42"/>
    </row>
    <row r="249" spans="1:9" x14ac:dyDescent="0.25">
      <c r="A249" s="3"/>
      <c r="B249" s="3"/>
      <c r="C249" s="34"/>
      <c r="D249" s="98" t="s">
        <v>493</v>
      </c>
      <c r="E249" s="51">
        <v>0</v>
      </c>
      <c r="F249" s="42"/>
    </row>
    <row r="250" spans="1:9" x14ac:dyDescent="0.25">
      <c r="A250" s="5"/>
      <c r="B250" s="5"/>
      <c r="C250" s="53"/>
      <c r="D250" s="207" t="s">
        <v>485</v>
      </c>
      <c r="E250" s="37">
        <v>21500000</v>
      </c>
      <c r="F250" s="42" t="s">
        <v>3</v>
      </c>
      <c r="G250" t="s">
        <v>3</v>
      </c>
    </row>
    <row r="251" spans="1:9" x14ac:dyDescent="0.25">
      <c r="A251" s="8">
        <v>2</v>
      </c>
      <c r="B251" s="8">
        <v>3</v>
      </c>
      <c r="C251" s="8"/>
      <c r="D251" s="6" t="s">
        <v>244</v>
      </c>
      <c r="E251" s="57">
        <f>E252+E254+E255+E257+E258+E262+E264+E267+E270+E272</f>
        <v>140000000</v>
      </c>
      <c r="F251" s="8"/>
    </row>
    <row r="252" spans="1:9" s="185" customFormat="1" hidden="1" x14ac:dyDescent="0.25">
      <c r="A252" s="89">
        <v>2</v>
      </c>
      <c r="B252" s="89">
        <v>3</v>
      </c>
      <c r="C252" s="90" t="s">
        <v>85</v>
      </c>
      <c r="D252" s="17" t="s">
        <v>245</v>
      </c>
      <c r="E252" s="91">
        <f>E253</f>
        <v>0</v>
      </c>
      <c r="F252" s="89" t="s">
        <v>3</v>
      </c>
    </row>
    <row r="253" spans="1:9" ht="30" hidden="1" x14ac:dyDescent="0.25">
      <c r="A253" s="89"/>
      <c r="B253" s="89"/>
      <c r="C253" s="90"/>
      <c r="D253" s="103" t="s">
        <v>246</v>
      </c>
      <c r="E253" s="104"/>
      <c r="F253" s="105" t="s">
        <v>3</v>
      </c>
    </row>
    <row r="254" spans="1:9" hidden="1" x14ac:dyDescent="0.25">
      <c r="A254" s="5">
        <v>2</v>
      </c>
      <c r="B254" s="5">
        <v>3</v>
      </c>
      <c r="C254" s="53" t="s">
        <v>89</v>
      </c>
      <c r="D254" s="12" t="s">
        <v>247</v>
      </c>
      <c r="E254" s="54"/>
      <c r="F254" s="5"/>
    </row>
    <row r="255" spans="1:9" hidden="1" x14ac:dyDescent="0.25">
      <c r="A255" s="5">
        <v>2</v>
      </c>
      <c r="B255" s="5">
        <v>3</v>
      </c>
      <c r="C255" s="53" t="s">
        <v>98</v>
      </c>
      <c r="D255" s="12" t="s">
        <v>248</v>
      </c>
      <c r="E255" s="54">
        <f>SUM(E256)</f>
        <v>0</v>
      </c>
      <c r="F255" s="5" t="s">
        <v>3</v>
      </c>
    </row>
    <row r="256" spans="1:9" ht="30" hidden="1" x14ac:dyDescent="0.25">
      <c r="A256" s="5"/>
      <c r="B256" s="5"/>
      <c r="C256" s="53"/>
      <c r="D256" s="43" t="s">
        <v>249</v>
      </c>
      <c r="E256" s="37">
        <v>0</v>
      </c>
      <c r="F256" s="5"/>
    </row>
    <row r="257" spans="1:6" hidden="1" x14ac:dyDescent="0.25">
      <c r="A257" s="5">
        <v>2</v>
      </c>
      <c r="B257" s="5">
        <v>3</v>
      </c>
      <c r="C257" s="53" t="s">
        <v>122</v>
      </c>
      <c r="D257" s="12" t="s">
        <v>250</v>
      </c>
      <c r="E257" s="54"/>
      <c r="F257" s="5"/>
    </row>
    <row r="258" spans="1:6" ht="30" hidden="1" x14ac:dyDescent="0.25">
      <c r="A258" s="3">
        <v>2</v>
      </c>
      <c r="B258" s="3">
        <v>3</v>
      </c>
      <c r="C258" s="34" t="s">
        <v>199</v>
      </c>
      <c r="D258" s="2" t="s">
        <v>251</v>
      </c>
      <c r="E258" s="35">
        <f>SUM(E259:E261)</f>
        <v>0</v>
      </c>
      <c r="F258" s="3" t="s">
        <v>3</v>
      </c>
    </row>
    <row r="259" spans="1:6" hidden="1" x14ac:dyDescent="0.25">
      <c r="A259" s="5"/>
      <c r="B259" s="5"/>
      <c r="C259" s="53"/>
      <c r="D259" s="43"/>
      <c r="E259" s="37"/>
      <c r="F259" s="5"/>
    </row>
    <row r="260" spans="1:6" hidden="1" x14ac:dyDescent="0.25">
      <c r="A260" s="5"/>
      <c r="B260" s="5"/>
      <c r="C260" s="53"/>
      <c r="D260" s="43"/>
      <c r="E260" s="37"/>
      <c r="F260" s="5"/>
    </row>
    <row r="261" spans="1:6" hidden="1" x14ac:dyDescent="0.25">
      <c r="A261" s="5"/>
      <c r="B261" s="5"/>
      <c r="C261" s="53"/>
      <c r="D261" s="71"/>
      <c r="E261" s="50"/>
      <c r="F261" s="5"/>
    </row>
    <row r="262" spans="1:6" ht="30" hidden="1" x14ac:dyDescent="0.25">
      <c r="A262" s="3">
        <v>2</v>
      </c>
      <c r="B262" s="3">
        <v>3</v>
      </c>
      <c r="C262" s="34" t="s">
        <v>163</v>
      </c>
      <c r="D262" s="2" t="s">
        <v>252</v>
      </c>
      <c r="E262" s="35">
        <f>SUM(E263:E263)</f>
        <v>0</v>
      </c>
      <c r="F262" s="3" t="s">
        <v>3</v>
      </c>
    </row>
    <row r="263" spans="1:6" hidden="1" x14ac:dyDescent="0.25">
      <c r="A263" s="3"/>
      <c r="B263" s="3"/>
      <c r="C263" s="34"/>
      <c r="D263" s="43" t="s">
        <v>253</v>
      </c>
      <c r="E263" s="37">
        <v>0</v>
      </c>
      <c r="F263" s="5"/>
    </row>
    <row r="264" spans="1:6" ht="30" x14ac:dyDescent="0.25">
      <c r="A264" s="3">
        <v>2</v>
      </c>
      <c r="B264" s="3">
        <v>3</v>
      </c>
      <c r="C264" s="34" t="s">
        <v>254</v>
      </c>
      <c r="D264" s="2" t="s">
        <v>255</v>
      </c>
      <c r="E264" s="35">
        <f>SUM(E265:E266)</f>
        <v>140000000</v>
      </c>
      <c r="F264" s="3" t="s">
        <v>3</v>
      </c>
    </row>
    <row r="265" spans="1:6" hidden="1" x14ac:dyDescent="0.25">
      <c r="A265" s="5"/>
      <c r="B265" s="5"/>
      <c r="C265" s="53"/>
      <c r="D265" s="71" t="s">
        <v>256</v>
      </c>
      <c r="E265" s="50">
        <v>0</v>
      </c>
      <c r="F265" s="42"/>
    </row>
    <row r="266" spans="1:6" ht="30" x14ac:dyDescent="0.25">
      <c r="A266" s="5"/>
      <c r="B266" s="5"/>
      <c r="C266" s="53"/>
      <c r="D266" s="43" t="s">
        <v>415</v>
      </c>
      <c r="E266" s="37">
        <v>140000000</v>
      </c>
      <c r="F266" s="5"/>
    </row>
    <row r="267" spans="1:6" ht="45" hidden="1" x14ac:dyDescent="0.25">
      <c r="A267" s="3">
        <v>2</v>
      </c>
      <c r="B267" s="3">
        <v>3</v>
      </c>
      <c r="C267" s="34" t="s">
        <v>257</v>
      </c>
      <c r="D267" s="2" t="s">
        <v>258</v>
      </c>
      <c r="E267" s="35">
        <f>SUM(E268:E269)</f>
        <v>0</v>
      </c>
      <c r="F267" s="3" t="s">
        <v>6</v>
      </c>
    </row>
    <row r="268" spans="1:6" ht="30" hidden="1" x14ac:dyDescent="0.25">
      <c r="A268" s="3"/>
      <c r="B268" s="3"/>
      <c r="C268" s="34"/>
      <c r="D268" s="43" t="s">
        <v>259</v>
      </c>
      <c r="E268" s="37">
        <v>0</v>
      </c>
      <c r="F268" s="3"/>
    </row>
    <row r="269" spans="1:6" hidden="1" x14ac:dyDescent="0.25">
      <c r="A269" s="5"/>
      <c r="B269" s="5"/>
      <c r="C269" s="53"/>
      <c r="D269" s="71" t="s">
        <v>260</v>
      </c>
      <c r="E269" s="50">
        <v>0</v>
      </c>
      <c r="F269" s="5"/>
    </row>
    <row r="270" spans="1:6" ht="30" hidden="1" x14ac:dyDescent="0.25">
      <c r="A270" s="3">
        <v>2</v>
      </c>
      <c r="B270" s="3">
        <v>3</v>
      </c>
      <c r="C270" s="34" t="s">
        <v>261</v>
      </c>
      <c r="D270" s="2" t="s">
        <v>262</v>
      </c>
      <c r="E270" s="35">
        <f>E271</f>
        <v>0</v>
      </c>
      <c r="F270" s="3" t="s">
        <v>3</v>
      </c>
    </row>
    <row r="271" spans="1:6" ht="30" hidden="1" x14ac:dyDescent="0.25">
      <c r="A271" s="3"/>
      <c r="B271" s="3"/>
      <c r="C271" s="34"/>
      <c r="D271" s="43" t="s">
        <v>263</v>
      </c>
      <c r="E271" s="37">
        <v>0</v>
      </c>
      <c r="F271" s="3"/>
    </row>
    <row r="272" spans="1:6" ht="30" hidden="1" x14ac:dyDescent="0.25">
      <c r="A272" s="3">
        <v>2</v>
      </c>
      <c r="B272" s="3">
        <v>3</v>
      </c>
      <c r="C272" s="34" t="s">
        <v>264</v>
      </c>
      <c r="D272" s="2" t="s">
        <v>265</v>
      </c>
      <c r="E272" s="35">
        <f>SUM(E273:E273)</f>
        <v>0</v>
      </c>
      <c r="F272" s="3" t="s">
        <v>3</v>
      </c>
    </row>
    <row r="273" spans="1:9" hidden="1" x14ac:dyDescent="0.25">
      <c r="A273" s="3"/>
      <c r="B273" s="3"/>
      <c r="C273" s="34"/>
      <c r="D273" s="43" t="s">
        <v>266</v>
      </c>
      <c r="E273" s="40">
        <v>0</v>
      </c>
      <c r="F273" s="3"/>
    </row>
    <row r="274" spans="1:9" x14ac:dyDescent="0.25">
      <c r="A274" s="8">
        <v>2</v>
      </c>
      <c r="B274" s="8">
        <v>4</v>
      </c>
      <c r="C274" s="8"/>
      <c r="D274" s="6" t="s">
        <v>267</v>
      </c>
      <c r="E274" s="57">
        <f>E275+E278+E280+E287+E289+E292+E295+E297</f>
        <v>399500000</v>
      </c>
      <c r="F274" s="8"/>
    </row>
    <row r="275" spans="1:9" ht="30" x14ac:dyDescent="0.25">
      <c r="A275" s="3">
        <v>2</v>
      </c>
      <c r="B275" s="3">
        <v>4</v>
      </c>
      <c r="C275" s="34" t="s">
        <v>85</v>
      </c>
      <c r="D275" s="2" t="s">
        <v>268</v>
      </c>
      <c r="E275" s="35">
        <f>SUM(E276:E277)</f>
        <v>257500000</v>
      </c>
      <c r="F275" s="3" t="s">
        <v>3</v>
      </c>
    </row>
    <row r="276" spans="1:9" ht="30" x14ac:dyDescent="0.25">
      <c r="A276" s="5"/>
      <c r="B276" s="3"/>
      <c r="C276" s="34"/>
      <c r="D276" s="43" t="s">
        <v>494</v>
      </c>
      <c r="E276" s="37">
        <v>100000000</v>
      </c>
      <c r="F276" s="36" t="s">
        <v>3</v>
      </c>
      <c r="H276">
        <f>35*4500000</f>
        <v>157500000</v>
      </c>
    </row>
    <row r="277" spans="1:9" x14ac:dyDescent="0.25">
      <c r="A277" s="5"/>
      <c r="B277" s="3"/>
      <c r="C277" s="34"/>
      <c r="D277" s="43" t="s">
        <v>484</v>
      </c>
      <c r="E277" s="37">
        <v>157500000</v>
      </c>
      <c r="F277" s="36" t="s">
        <v>3</v>
      </c>
      <c r="H277" s="173">
        <f>E277/36</f>
        <v>4375000</v>
      </c>
      <c r="I277" s="173">
        <f>H277*12.5%</f>
        <v>546875</v>
      </c>
    </row>
    <row r="278" spans="1:9" hidden="1" x14ac:dyDescent="0.25">
      <c r="A278" s="3">
        <v>2</v>
      </c>
      <c r="B278" s="3">
        <v>4</v>
      </c>
      <c r="C278" s="34" t="s">
        <v>98</v>
      </c>
      <c r="D278" s="2" t="s">
        <v>270</v>
      </c>
      <c r="E278" s="35">
        <f>SUM(E279:E279)</f>
        <v>0</v>
      </c>
      <c r="F278" s="3" t="s">
        <v>3</v>
      </c>
    </row>
    <row r="279" spans="1:9" hidden="1" x14ac:dyDescent="0.25">
      <c r="A279" s="5"/>
      <c r="B279" s="3"/>
      <c r="C279" s="34"/>
      <c r="D279" s="43" t="s">
        <v>271</v>
      </c>
      <c r="E279" s="37">
        <v>0</v>
      </c>
      <c r="F279" s="3"/>
    </row>
    <row r="280" spans="1:9" s="185" customFormat="1" x14ac:dyDescent="0.25">
      <c r="A280" s="3">
        <v>2</v>
      </c>
      <c r="B280" s="3">
        <v>4</v>
      </c>
      <c r="C280" s="34" t="s">
        <v>159</v>
      </c>
      <c r="D280" s="2" t="s">
        <v>272</v>
      </c>
      <c r="E280" s="35">
        <f>SUM(E281:E286)</f>
        <v>92000000</v>
      </c>
      <c r="F280" s="3" t="s">
        <v>3</v>
      </c>
      <c r="I280" s="241">
        <f>H277-I277</f>
        <v>3828125</v>
      </c>
    </row>
    <row r="281" spans="1:9" x14ac:dyDescent="0.25">
      <c r="A281" s="5"/>
      <c r="B281" s="5"/>
      <c r="C281" s="53"/>
      <c r="D281" s="43" t="s">
        <v>487</v>
      </c>
      <c r="E281" s="37">
        <v>72000000</v>
      </c>
      <c r="F281" s="3"/>
      <c r="H281">
        <f>1000000*6*12</f>
        <v>72000000</v>
      </c>
    </row>
    <row r="282" spans="1:9" hidden="1" x14ac:dyDescent="0.25">
      <c r="A282" s="5"/>
      <c r="B282" s="5"/>
      <c r="C282" s="53"/>
      <c r="D282" s="71" t="s">
        <v>274</v>
      </c>
      <c r="E282" s="50">
        <v>0</v>
      </c>
      <c r="F282" s="46"/>
      <c r="H282">
        <f>37*4</f>
        <v>148</v>
      </c>
    </row>
    <row r="283" spans="1:9" hidden="1" x14ac:dyDescent="0.25">
      <c r="A283" s="5"/>
      <c r="B283" s="5"/>
      <c r="C283" s="53"/>
      <c r="D283" s="71" t="s">
        <v>275</v>
      </c>
      <c r="E283" s="50">
        <v>0</v>
      </c>
      <c r="F283" s="46"/>
      <c r="H283">
        <f>H282/2</f>
        <v>74</v>
      </c>
    </row>
    <row r="284" spans="1:9" hidden="1" x14ac:dyDescent="0.25">
      <c r="A284" s="5"/>
      <c r="B284" s="5"/>
      <c r="C284" s="53"/>
      <c r="D284" s="71" t="s">
        <v>276</v>
      </c>
      <c r="E284" s="50">
        <v>0</v>
      </c>
      <c r="F284" s="46"/>
    </row>
    <row r="285" spans="1:9" hidden="1" x14ac:dyDescent="0.25">
      <c r="A285" s="5"/>
      <c r="B285" s="5"/>
      <c r="C285" s="53"/>
      <c r="D285" s="71" t="s">
        <v>277</v>
      </c>
      <c r="E285" s="50">
        <v>0</v>
      </c>
      <c r="F285" s="46"/>
    </row>
    <row r="286" spans="1:9" x14ac:dyDescent="0.25">
      <c r="A286" s="3"/>
      <c r="B286" s="3"/>
      <c r="C286" s="34"/>
      <c r="D286" s="43" t="s">
        <v>416</v>
      </c>
      <c r="E286" s="37">
        <v>20000000</v>
      </c>
      <c r="F286" s="97"/>
    </row>
    <row r="287" spans="1:9" hidden="1" x14ac:dyDescent="0.25">
      <c r="A287" s="5">
        <v>2</v>
      </c>
      <c r="B287" s="5">
        <v>4</v>
      </c>
      <c r="C287" s="53" t="s">
        <v>160</v>
      </c>
      <c r="D287" s="12" t="s">
        <v>280</v>
      </c>
      <c r="E287" s="54">
        <f>SUM(E288:E288)</f>
        <v>0</v>
      </c>
      <c r="F287" s="5" t="s">
        <v>3</v>
      </c>
    </row>
    <row r="288" spans="1:9" hidden="1" x14ac:dyDescent="0.25">
      <c r="A288" s="5"/>
      <c r="B288" s="5"/>
      <c r="C288" s="53"/>
      <c r="D288" s="71" t="s">
        <v>281</v>
      </c>
      <c r="E288" s="50">
        <v>0</v>
      </c>
      <c r="F288" s="5"/>
    </row>
    <row r="289" spans="1:6" ht="30" hidden="1" x14ac:dyDescent="0.25">
      <c r="A289" s="3">
        <v>2</v>
      </c>
      <c r="B289" s="3">
        <v>4</v>
      </c>
      <c r="C289" s="34">
        <v>11</v>
      </c>
      <c r="D289" s="2" t="s">
        <v>282</v>
      </c>
      <c r="E289" s="35">
        <f>SUM(E290:E291)</f>
        <v>0</v>
      </c>
      <c r="F289" s="3" t="s">
        <v>3</v>
      </c>
    </row>
    <row r="290" spans="1:6" hidden="1" x14ac:dyDescent="0.25">
      <c r="A290" s="3"/>
      <c r="B290" s="3"/>
      <c r="C290" s="34"/>
      <c r="D290" s="71" t="s">
        <v>283</v>
      </c>
      <c r="E290" s="50">
        <v>0</v>
      </c>
      <c r="F290" s="42" t="s">
        <v>3</v>
      </c>
    </row>
    <row r="291" spans="1:6" hidden="1" x14ac:dyDescent="0.25">
      <c r="A291" s="3"/>
      <c r="B291" s="3"/>
      <c r="C291" s="34"/>
      <c r="D291" s="71" t="s">
        <v>283</v>
      </c>
      <c r="E291" s="50">
        <v>0</v>
      </c>
      <c r="F291" s="42" t="s">
        <v>4</v>
      </c>
    </row>
    <row r="292" spans="1:6" ht="30" x14ac:dyDescent="0.25">
      <c r="A292" s="3">
        <v>2</v>
      </c>
      <c r="B292" s="3">
        <v>4</v>
      </c>
      <c r="C292" s="106">
        <v>12</v>
      </c>
      <c r="D292" s="107" t="s">
        <v>284</v>
      </c>
      <c r="E292" s="35">
        <f>E293</f>
        <v>20000000</v>
      </c>
      <c r="F292" s="3" t="s">
        <v>3</v>
      </c>
    </row>
    <row r="293" spans="1:6" ht="18" customHeight="1" x14ac:dyDescent="0.25">
      <c r="A293" s="5"/>
      <c r="B293" s="5"/>
      <c r="C293" s="108"/>
      <c r="D293" s="43" t="s">
        <v>486</v>
      </c>
      <c r="E293" s="37">
        <v>20000000</v>
      </c>
      <c r="F293" s="92"/>
    </row>
    <row r="294" spans="1:6" hidden="1" x14ac:dyDescent="0.25">
      <c r="A294" s="3">
        <v>2</v>
      </c>
      <c r="B294" s="3">
        <v>4</v>
      </c>
      <c r="C294" s="34" t="s">
        <v>286</v>
      </c>
      <c r="D294" s="2" t="s">
        <v>287</v>
      </c>
      <c r="E294" s="109"/>
      <c r="F294" s="97"/>
    </row>
    <row r="295" spans="1:6" ht="30" x14ac:dyDescent="0.25">
      <c r="A295" s="3">
        <v>2</v>
      </c>
      <c r="B295" s="3">
        <v>4</v>
      </c>
      <c r="C295" s="34" t="s">
        <v>257</v>
      </c>
      <c r="D295" s="2" t="s">
        <v>288</v>
      </c>
      <c r="E295" s="35">
        <f>E296</f>
        <v>30000000</v>
      </c>
      <c r="F295" s="3" t="s">
        <v>3</v>
      </c>
    </row>
    <row r="296" spans="1:6" x14ac:dyDescent="0.25">
      <c r="A296" s="5"/>
      <c r="B296" s="5"/>
      <c r="C296" s="53"/>
      <c r="D296" s="43" t="s">
        <v>289</v>
      </c>
      <c r="E296" s="37">
        <v>30000000</v>
      </c>
      <c r="F296" s="42" t="s">
        <v>432</v>
      </c>
    </row>
    <row r="297" spans="1:6" s="185" customFormat="1" ht="30" hidden="1" x14ac:dyDescent="0.25">
      <c r="A297" s="3">
        <v>2</v>
      </c>
      <c r="B297" s="3">
        <v>4</v>
      </c>
      <c r="C297" s="34" t="s">
        <v>261</v>
      </c>
      <c r="D297" s="2" t="s">
        <v>290</v>
      </c>
      <c r="E297" s="35">
        <f>SUM(E298:E300)</f>
        <v>0</v>
      </c>
      <c r="F297" s="3" t="s">
        <v>3</v>
      </c>
    </row>
    <row r="298" spans="1:6" hidden="1" x14ac:dyDescent="0.25">
      <c r="A298" s="3"/>
      <c r="B298" s="3"/>
      <c r="C298" s="34"/>
      <c r="D298" s="43" t="s">
        <v>291</v>
      </c>
      <c r="E298" s="37"/>
      <c r="F298" s="36" t="s">
        <v>3</v>
      </c>
    </row>
    <row r="299" spans="1:6" hidden="1" x14ac:dyDescent="0.25">
      <c r="A299" s="5"/>
      <c r="B299" s="5"/>
      <c r="C299" s="53"/>
      <c r="D299" s="71" t="s">
        <v>278</v>
      </c>
      <c r="E299" s="50">
        <v>0</v>
      </c>
      <c r="F299" s="42"/>
    </row>
    <row r="300" spans="1:6" hidden="1" x14ac:dyDescent="0.25">
      <c r="A300" s="5"/>
      <c r="B300" s="5"/>
      <c r="C300" s="53"/>
      <c r="D300" s="71" t="s">
        <v>279</v>
      </c>
      <c r="E300" s="50">
        <v>0</v>
      </c>
      <c r="F300" s="42" t="s">
        <v>3</v>
      </c>
    </row>
    <row r="301" spans="1:6" hidden="1" x14ac:dyDescent="0.25">
      <c r="A301" s="5"/>
      <c r="B301" s="5"/>
      <c r="C301" s="53"/>
      <c r="D301" s="71"/>
      <c r="E301" s="64"/>
      <c r="F301" s="5"/>
    </row>
    <row r="302" spans="1:6" ht="30" hidden="1" x14ac:dyDescent="0.25">
      <c r="A302" s="3">
        <v>2</v>
      </c>
      <c r="B302" s="3">
        <v>4</v>
      </c>
      <c r="C302" s="34" t="s">
        <v>264</v>
      </c>
      <c r="D302" s="110" t="s">
        <v>292</v>
      </c>
      <c r="E302" s="45">
        <f>E303</f>
        <v>0</v>
      </c>
      <c r="F302" s="4" t="s">
        <v>3</v>
      </c>
    </row>
    <row r="303" spans="1:6" hidden="1" x14ac:dyDescent="0.25">
      <c r="A303" s="5"/>
      <c r="B303" s="5"/>
      <c r="C303" s="53"/>
      <c r="D303" s="111" t="s">
        <v>293</v>
      </c>
      <c r="E303" s="112"/>
      <c r="F303" s="113"/>
    </row>
    <row r="304" spans="1:6" hidden="1" x14ac:dyDescent="0.25">
      <c r="A304" s="5"/>
      <c r="B304" s="5"/>
      <c r="C304" s="53"/>
      <c r="D304" s="111"/>
      <c r="E304" s="112"/>
      <c r="F304" s="113"/>
    </row>
    <row r="305" spans="1:6" hidden="1" x14ac:dyDescent="0.25">
      <c r="A305" s="5"/>
      <c r="B305" s="5"/>
      <c r="C305" s="53"/>
      <c r="D305" s="111"/>
      <c r="E305" s="112"/>
      <c r="F305" s="113"/>
    </row>
    <row r="306" spans="1:6" hidden="1" x14ac:dyDescent="0.25">
      <c r="A306" s="10">
        <v>2</v>
      </c>
      <c r="B306" s="10">
        <v>5</v>
      </c>
      <c r="C306" s="10"/>
      <c r="D306" s="114" t="s">
        <v>294</v>
      </c>
      <c r="E306" s="206">
        <f>E307+E310</f>
        <v>0</v>
      </c>
      <c r="F306" s="10"/>
    </row>
    <row r="307" spans="1:6" s="185" customFormat="1" hidden="1" x14ac:dyDescent="0.25">
      <c r="A307" s="92">
        <v>2</v>
      </c>
      <c r="B307" s="5">
        <v>5</v>
      </c>
      <c r="C307" s="53" t="s">
        <v>89</v>
      </c>
      <c r="D307" s="5" t="s">
        <v>295</v>
      </c>
      <c r="E307" s="54">
        <f>SUM(E308:E309)</f>
        <v>0</v>
      </c>
      <c r="F307" s="5" t="s">
        <v>3</v>
      </c>
    </row>
    <row r="308" spans="1:6" hidden="1" x14ac:dyDescent="0.25">
      <c r="A308" s="92"/>
      <c r="B308" s="92"/>
      <c r="C308" s="116"/>
      <c r="D308" s="42" t="s">
        <v>296</v>
      </c>
      <c r="E308" s="50">
        <v>0</v>
      </c>
      <c r="F308" s="42" t="s">
        <v>3</v>
      </c>
    </row>
    <row r="309" spans="1:6" hidden="1" x14ac:dyDescent="0.25">
      <c r="A309" s="92"/>
      <c r="B309" s="92"/>
      <c r="C309" s="116"/>
      <c r="D309" s="42" t="s">
        <v>297</v>
      </c>
      <c r="E309" s="50"/>
      <c r="F309" s="42" t="s">
        <v>3</v>
      </c>
    </row>
    <row r="310" spans="1:6" s="185" customFormat="1" ht="30" hidden="1" x14ac:dyDescent="0.25">
      <c r="A310" s="5">
        <v>2</v>
      </c>
      <c r="B310" s="5">
        <v>5</v>
      </c>
      <c r="C310" s="53" t="s">
        <v>98</v>
      </c>
      <c r="D310" s="187" t="s">
        <v>298</v>
      </c>
      <c r="E310" s="35">
        <f>E311</f>
        <v>0</v>
      </c>
      <c r="F310" s="3" t="s">
        <v>3</v>
      </c>
    </row>
    <row r="311" spans="1:6" hidden="1" x14ac:dyDescent="0.25">
      <c r="A311" s="92"/>
      <c r="B311" s="92"/>
      <c r="C311" s="92"/>
      <c r="D311" s="71" t="s">
        <v>299</v>
      </c>
      <c r="E311" s="37"/>
      <c r="F311" s="36" t="s">
        <v>3</v>
      </c>
    </row>
    <row r="312" spans="1:6" hidden="1" x14ac:dyDescent="0.25">
      <c r="A312" s="92"/>
      <c r="B312" s="92"/>
      <c r="C312" s="92"/>
      <c r="D312" s="71"/>
      <c r="E312" s="50"/>
      <c r="F312" s="42"/>
    </row>
    <row r="313" spans="1:6" x14ac:dyDescent="0.25">
      <c r="A313" s="117">
        <v>2</v>
      </c>
      <c r="B313" s="117">
        <v>6</v>
      </c>
      <c r="C313" s="117"/>
      <c r="D313" s="13" t="s">
        <v>52</v>
      </c>
      <c r="E313" s="35">
        <f>E314+E318+E324</f>
        <v>26000000</v>
      </c>
      <c r="F313" s="69"/>
    </row>
    <row r="314" spans="1:6" hidden="1" x14ac:dyDescent="0.25">
      <c r="A314" s="5">
        <v>2</v>
      </c>
      <c r="B314" s="5">
        <v>6</v>
      </c>
      <c r="C314" s="53" t="s">
        <v>85</v>
      </c>
      <c r="D314" s="12" t="s">
        <v>300</v>
      </c>
      <c r="E314" s="54">
        <f>SUM(E315:E317)</f>
        <v>0</v>
      </c>
      <c r="F314" s="5" t="s">
        <v>3</v>
      </c>
    </row>
    <row r="315" spans="1:6" hidden="1" x14ac:dyDescent="0.25">
      <c r="A315" s="5"/>
      <c r="B315" s="5"/>
      <c r="C315" s="53"/>
      <c r="D315" s="71" t="s">
        <v>301</v>
      </c>
      <c r="E315" s="75"/>
      <c r="F315" s="46"/>
    </row>
    <row r="316" spans="1:6" hidden="1" x14ac:dyDescent="0.25">
      <c r="A316" s="5"/>
      <c r="B316" s="5"/>
      <c r="C316" s="53"/>
      <c r="D316" s="71" t="s">
        <v>302</v>
      </c>
      <c r="E316" s="75"/>
      <c r="F316" s="46"/>
    </row>
    <row r="317" spans="1:6" hidden="1" x14ac:dyDescent="0.25">
      <c r="A317" s="5"/>
      <c r="B317" s="5"/>
      <c r="C317" s="53"/>
      <c r="D317" s="71" t="s">
        <v>303</v>
      </c>
      <c r="E317" s="75"/>
      <c r="F317" s="46"/>
    </row>
    <row r="318" spans="1:6" ht="33.75" customHeight="1" x14ac:dyDescent="0.25">
      <c r="A318" s="3">
        <v>2</v>
      </c>
      <c r="B318" s="3">
        <v>6</v>
      </c>
      <c r="C318" s="34" t="s">
        <v>89</v>
      </c>
      <c r="D318" s="2" t="s">
        <v>53</v>
      </c>
      <c r="E318" s="35">
        <f>SUM(E319:E323)</f>
        <v>26000000</v>
      </c>
      <c r="F318" s="2" t="s">
        <v>304</v>
      </c>
    </row>
    <row r="319" spans="1:6" hidden="1" x14ac:dyDescent="0.25">
      <c r="A319" s="3"/>
      <c r="B319" s="3"/>
      <c r="C319" s="34"/>
      <c r="D319" s="42" t="s">
        <v>161</v>
      </c>
      <c r="E319" s="50">
        <v>0</v>
      </c>
      <c r="F319" s="2"/>
    </row>
    <row r="320" spans="1:6" x14ac:dyDescent="0.25">
      <c r="A320" s="3"/>
      <c r="B320" s="3"/>
      <c r="C320" s="34"/>
      <c r="D320" s="48" t="s">
        <v>162</v>
      </c>
      <c r="E320" s="49">
        <v>12000000</v>
      </c>
      <c r="F320" s="43" t="s">
        <v>3</v>
      </c>
    </row>
    <row r="321" spans="1:6" x14ac:dyDescent="0.25">
      <c r="A321" s="3"/>
      <c r="B321" s="3"/>
      <c r="C321" s="34"/>
      <c r="D321" s="48" t="s">
        <v>162</v>
      </c>
      <c r="E321" s="49">
        <v>12000000</v>
      </c>
      <c r="F321" s="43" t="s">
        <v>0</v>
      </c>
    </row>
    <row r="322" spans="1:6" x14ac:dyDescent="0.25">
      <c r="A322" s="3"/>
      <c r="B322" s="3"/>
      <c r="C322" s="34"/>
      <c r="D322" s="43" t="s">
        <v>305</v>
      </c>
      <c r="E322" s="37">
        <v>2000000</v>
      </c>
      <c r="F322" s="43" t="s">
        <v>0</v>
      </c>
    </row>
    <row r="323" spans="1:6" hidden="1" x14ac:dyDescent="0.25">
      <c r="A323" s="3"/>
      <c r="B323" s="3"/>
      <c r="C323" s="34"/>
      <c r="D323" s="103" t="s">
        <v>306</v>
      </c>
      <c r="E323" s="104">
        <v>0</v>
      </c>
      <c r="F323" s="119"/>
    </row>
    <row r="324" spans="1:6" ht="30" hidden="1" x14ac:dyDescent="0.25">
      <c r="A324" s="93">
        <v>2</v>
      </c>
      <c r="B324" s="93">
        <v>6</v>
      </c>
      <c r="C324" s="94" t="s">
        <v>98</v>
      </c>
      <c r="D324" s="95" t="s">
        <v>307</v>
      </c>
      <c r="E324" s="96">
        <f>SUM(E325:E326)</f>
        <v>0</v>
      </c>
      <c r="F324" s="95" t="s">
        <v>3</v>
      </c>
    </row>
    <row r="325" spans="1:6" hidden="1" x14ac:dyDescent="0.25">
      <c r="A325" s="3"/>
      <c r="B325" s="3"/>
      <c r="C325" s="34"/>
      <c r="D325" s="103" t="s">
        <v>308</v>
      </c>
      <c r="E325" s="104">
        <v>0</v>
      </c>
      <c r="F325" s="2"/>
    </row>
    <row r="326" spans="1:6" hidden="1" x14ac:dyDescent="0.25">
      <c r="A326" s="3"/>
      <c r="B326" s="3"/>
      <c r="C326" s="34"/>
      <c r="D326" s="103" t="s">
        <v>309</v>
      </c>
      <c r="E326" s="104"/>
      <c r="F326" s="119"/>
    </row>
    <row r="327" spans="1:6" hidden="1" x14ac:dyDescent="0.25">
      <c r="A327" s="10">
        <v>2</v>
      </c>
      <c r="B327" s="10">
        <v>7</v>
      </c>
      <c r="C327" s="10"/>
      <c r="D327" s="114" t="s">
        <v>310</v>
      </c>
      <c r="E327" s="115"/>
      <c r="F327" s="10"/>
    </row>
    <row r="328" spans="1:6" x14ac:dyDescent="0.25">
      <c r="A328" s="10">
        <v>2</v>
      </c>
      <c r="B328" s="10">
        <v>8</v>
      </c>
      <c r="C328" s="8"/>
      <c r="D328" s="114" t="s">
        <v>311</v>
      </c>
      <c r="E328" s="57">
        <f>E331</f>
        <v>5000000</v>
      </c>
      <c r="F328" s="8"/>
    </row>
    <row r="329" spans="1:6" hidden="1" x14ac:dyDescent="0.25">
      <c r="A329" s="3">
        <v>2</v>
      </c>
      <c r="B329" s="3">
        <v>8</v>
      </c>
      <c r="C329" s="34" t="s">
        <v>85</v>
      </c>
      <c r="D329" s="2" t="s">
        <v>312</v>
      </c>
      <c r="E329" s="35"/>
      <c r="F329" s="3"/>
    </row>
    <row r="330" spans="1:6" s="188" customFormat="1" ht="30" hidden="1" x14ac:dyDescent="0.25">
      <c r="A330" s="3">
        <v>2</v>
      </c>
      <c r="B330" s="3">
        <v>8</v>
      </c>
      <c r="C330" s="34" t="s">
        <v>89</v>
      </c>
      <c r="D330" s="2" t="s">
        <v>313</v>
      </c>
      <c r="E330" s="35"/>
      <c r="F330" s="3"/>
    </row>
    <row r="331" spans="1:6" s="185" customFormat="1" x14ac:dyDescent="0.25">
      <c r="A331" s="5">
        <v>2</v>
      </c>
      <c r="B331" s="5">
        <v>8</v>
      </c>
      <c r="C331" s="53" t="s">
        <v>98</v>
      </c>
      <c r="D331" s="17" t="s">
        <v>314</v>
      </c>
      <c r="E331" s="54">
        <f>SUM(E332:E334)</f>
        <v>5000000</v>
      </c>
      <c r="F331" s="5" t="s">
        <v>3</v>
      </c>
    </row>
    <row r="332" spans="1:6" x14ac:dyDescent="0.25">
      <c r="A332" s="5"/>
      <c r="B332" s="5"/>
      <c r="C332" s="53"/>
      <c r="D332" s="120" t="s">
        <v>499</v>
      </c>
      <c r="E332" s="49">
        <v>5000000</v>
      </c>
      <c r="F332" s="92" t="s">
        <v>3</v>
      </c>
    </row>
    <row r="333" spans="1:6" hidden="1" x14ac:dyDescent="0.25">
      <c r="A333" s="5"/>
      <c r="B333" s="5"/>
      <c r="C333" s="53"/>
      <c r="D333" s="120"/>
      <c r="E333" s="49"/>
      <c r="F333" s="92" t="s">
        <v>3</v>
      </c>
    </row>
    <row r="334" spans="1:6" hidden="1" x14ac:dyDescent="0.25">
      <c r="A334" s="5"/>
      <c r="B334" s="5"/>
      <c r="C334" s="53"/>
      <c r="D334" s="120"/>
      <c r="E334" s="49">
        <v>0</v>
      </c>
      <c r="F334" s="92" t="s">
        <v>316</v>
      </c>
    </row>
    <row r="335" spans="1:6" x14ac:dyDescent="0.25">
      <c r="A335" s="11">
        <v>3</v>
      </c>
      <c r="B335" s="11"/>
      <c r="C335" s="11"/>
      <c r="D335" s="14" t="s">
        <v>54</v>
      </c>
      <c r="E335" s="88">
        <f>E336+E355+E373+E385</f>
        <v>93588500</v>
      </c>
      <c r="F335" s="11"/>
    </row>
    <row r="336" spans="1:6" ht="30" x14ac:dyDescent="0.25">
      <c r="A336" s="119">
        <v>3</v>
      </c>
      <c r="B336" s="121">
        <v>1</v>
      </c>
      <c r="C336" s="121"/>
      <c r="D336" s="15" t="s">
        <v>55</v>
      </c>
      <c r="E336" s="122">
        <f>E337+E346+E351</f>
        <v>32088500</v>
      </c>
      <c r="F336" s="121"/>
    </row>
    <row r="337" spans="1:9" ht="15.75" customHeight="1" x14ac:dyDescent="0.25">
      <c r="A337" s="5">
        <v>3</v>
      </c>
      <c r="B337" s="5">
        <v>1</v>
      </c>
      <c r="C337" s="53" t="s">
        <v>85</v>
      </c>
      <c r="D337" s="12" t="s">
        <v>60</v>
      </c>
      <c r="E337" s="54">
        <f>E338+E341</f>
        <v>32088500</v>
      </c>
      <c r="F337" s="5" t="s">
        <v>1</v>
      </c>
    </row>
    <row r="338" spans="1:9" ht="18" hidden="1" customHeight="1" x14ac:dyDescent="0.25">
      <c r="A338" s="5"/>
      <c r="B338" s="5"/>
      <c r="C338" s="53"/>
      <c r="D338" s="72" t="s">
        <v>317</v>
      </c>
      <c r="E338" s="64">
        <f>SUM(E339:E340)</f>
        <v>0</v>
      </c>
      <c r="F338" s="63" t="s">
        <v>3</v>
      </c>
    </row>
    <row r="339" spans="1:9" hidden="1" x14ac:dyDescent="0.25">
      <c r="A339" s="5"/>
      <c r="B339" s="5"/>
      <c r="C339" s="53"/>
      <c r="D339" s="71" t="s">
        <v>318</v>
      </c>
      <c r="E339" s="51">
        <v>0</v>
      </c>
      <c r="F339" s="42" t="s">
        <v>3</v>
      </c>
    </row>
    <row r="340" spans="1:9" hidden="1" x14ac:dyDescent="0.25">
      <c r="A340" s="5"/>
      <c r="B340" s="5"/>
      <c r="C340" s="53"/>
      <c r="D340" s="71" t="s">
        <v>319</v>
      </c>
      <c r="E340" s="51">
        <v>0</v>
      </c>
      <c r="F340" s="42" t="s">
        <v>3</v>
      </c>
    </row>
    <row r="341" spans="1:9" ht="15.75" customHeight="1" x14ac:dyDescent="0.25">
      <c r="A341" s="5"/>
      <c r="B341" s="5"/>
      <c r="C341" s="53"/>
      <c r="D341" s="72" t="s">
        <v>320</v>
      </c>
      <c r="E341" s="64">
        <f>SUM(E342:E344)</f>
        <v>32088500</v>
      </c>
      <c r="F341" s="63" t="s">
        <v>1</v>
      </c>
    </row>
    <row r="342" spans="1:9" ht="15.75" customHeight="1" x14ac:dyDescent="0.25">
      <c r="A342" s="5"/>
      <c r="B342" s="5"/>
      <c r="C342" s="53"/>
      <c r="D342" s="71" t="s">
        <v>461</v>
      </c>
      <c r="E342" s="50">
        <v>20088500</v>
      </c>
      <c r="F342" s="42" t="s">
        <v>2</v>
      </c>
      <c r="H342">
        <f>16043900-225400</f>
        <v>15818500</v>
      </c>
      <c r="I342" s="173">
        <f>20000000-E342</f>
        <v>-88500</v>
      </c>
    </row>
    <row r="343" spans="1:9" ht="20.25" customHeight="1" x14ac:dyDescent="0.25">
      <c r="A343" s="3"/>
      <c r="B343" s="3"/>
      <c r="C343" s="34"/>
      <c r="D343" s="43" t="s">
        <v>321</v>
      </c>
      <c r="E343" s="37">
        <v>9000000</v>
      </c>
      <c r="F343" s="43" t="s">
        <v>1</v>
      </c>
      <c r="H343" s="173">
        <f>E342-255400</f>
        <v>19833100</v>
      </c>
    </row>
    <row r="344" spans="1:9" ht="17.25" customHeight="1" x14ac:dyDescent="0.25">
      <c r="A344" s="5"/>
      <c r="B344" s="5"/>
      <c r="C344" s="53"/>
      <c r="D344" s="71" t="s">
        <v>322</v>
      </c>
      <c r="E344" s="50">
        <v>3000000</v>
      </c>
      <c r="F344" s="48" t="s">
        <v>1</v>
      </c>
    </row>
    <row r="345" spans="1:9" hidden="1" x14ac:dyDescent="0.25">
      <c r="A345" s="5"/>
      <c r="B345" s="5"/>
      <c r="C345" s="53"/>
      <c r="D345" s="123"/>
      <c r="E345" s="75"/>
      <c r="F345" s="46"/>
    </row>
    <row r="346" spans="1:9" ht="30" hidden="1" x14ac:dyDescent="0.25">
      <c r="A346" s="5">
        <v>3</v>
      </c>
      <c r="B346" s="5">
        <v>1</v>
      </c>
      <c r="C346" s="53" t="s">
        <v>89</v>
      </c>
      <c r="D346" s="12" t="s">
        <v>323</v>
      </c>
      <c r="E346" s="75"/>
      <c r="F346" s="46"/>
    </row>
    <row r="347" spans="1:9" ht="30" hidden="1" x14ac:dyDescent="0.25">
      <c r="A347" s="5">
        <v>3</v>
      </c>
      <c r="B347" s="5">
        <v>1</v>
      </c>
      <c r="C347" s="53" t="s">
        <v>98</v>
      </c>
      <c r="D347" s="12" t="s">
        <v>324</v>
      </c>
      <c r="E347" s="75"/>
      <c r="F347" s="46"/>
    </row>
    <row r="348" spans="1:9" hidden="1" x14ac:dyDescent="0.25">
      <c r="A348" s="3">
        <v>3</v>
      </c>
      <c r="B348" s="3">
        <v>1</v>
      </c>
      <c r="C348" s="34" t="s">
        <v>109</v>
      </c>
      <c r="D348" s="2" t="s">
        <v>325</v>
      </c>
      <c r="E348" s="109"/>
      <c r="F348" s="97"/>
    </row>
    <row r="349" spans="1:9" hidden="1" x14ac:dyDescent="0.25">
      <c r="A349" s="5">
        <v>3</v>
      </c>
      <c r="B349" s="5">
        <v>1</v>
      </c>
      <c r="C349" s="53" t="s">
        <v>122</v>
      </c>
      <c r="D349" s="12" t="s">
        <v>326</v>
      </c>
      <c r="E349" s="75"/>
      <c r="F349" s="46"/>
    </row>
    <row r="350" spans="1:9" hidden="1" x14ac:dyDescent="0.25">
      <c r="A350" s="5">
        <v>3</v>
      </c>
      <c r="B350" s="5">
        <v>1</v>
      </c>
      <c r="C350" s="53" t="s">
        <v>125</v>
      </c>
      <c r="D350" s="12" t="s">
        <v>327</v>
      </c>
      <c r="E350" s="75"/>
      <c r="F350" s="46"/>
    </row>
    <row r="351" spans="1:9" ht="30" hidden="1" x14ac:dyDescent="0.25">
      <c r="A351" s="5">
        <v>3</v>
      </c>
      <c r="B351" s="5">
        <v>1</v>
      </c>
      <c r="C351" s="53" t="s">
        <v>159</v>
      </c>
      <c r="D351" s="12" t="s">
        <v>328</v>
      </c>
      <c r="E351" s="75">
        <f>SUM(E352:E354)</f>
        <v>0</v>
      </c>
      <c r="F351" s="46"/>
    </row>
    <row r="352" spans="1:9" hidden="1" x14ac:dyDescent="0.25">
      <c r="A352" s="5"/>
      <c r="B352" s="5"/>
      <c r="C352" s="53"/>
      <c r="D352" s="12"/>
      <c r="E352" s="75"/>
      <c r="F352" s="46"/>
    </row>
    <row r="353" spans="1:6" hidden="1" x14ac:dyDescent="0.25">
      <c r="A353" s="5"/>
      <c r="B353" s="5"/>
      <c r="C353" s="53"/>
      <c r="D353" s="12"/>
      <c r="E353" s="75"/>
      <c r="F353" s="46"/>
    </row>
    <row r="354" spans="1:6" hidden="1" x14ac:dyDescent="0.25">
      <c r="A354" s="5"/>
      <c r="B354" s="5"/>
      <c r="C354" s="53"/>
      <c r="D354" s="12"/>
      <c r="E354" s="75"/>
      <c r="F354" s="46"/>
    </row>
    <row r="355" spans="1:6" x14ac:dyDescent="0.25">
      <c r="A355" s="121">
        <v>3</v>
      </c>
      <c r="B355" s="121">
        <v>2</v>
      </c>
      <c r="C355" s="121"/>
      <c r="D355" s="15" t="s">
        <v>56</v>
      </c>
      <c r="E355" s="122">
        <f>E356+E358+E361</f>
        <v>22000000</v>
      </c>
      <c r="F355" s="15"/>
    </row>
    <row r="356" spans="1:6" x14ac:dyDescent="0.25">
      <c r="A356" s="3">
        <v>3</v>
      </c>
      <c r="B356" s="3">
        <v>2</v>
      </c>
      <c r="C356" s="34" t="s">
        <v>85</v>
      </c>
      <c r="D356" s="2" t="s">
        <v>57</v>
      </c>
      <c r="E356" s="35">
        <f>SUM(E357:E357)</f>
        <v>10000000</v>
      </c>
      <c r="F356" s="3" t="s">
        <v>1</v>
      </c>
    </row>
    <row r="357" spans="1:6" ht="13.5" customHeight="1" x14ac:dyDescent="0.25">
      <c r="A357" s="3"/>
      <c r="B357" s="3"/>
      <c r="C357" s="34"/>
      <c r="D357" s="43" t="s">
        <v>329</v>
      </c>
      <c r="E357" s="37">
        <v>10000000</v>
      </c>
      <c r="F357" s="36" t="s">
        <v>1</v>
      </c>
    </row>
    <row r="358" spans="1:6" ht="29.25" customHeight="1" x14ac:dyDescent="0.25">
      <c r="A358" s="3">
        <v>3</v>
      </c>
      <c r="B358" s="3">
        <v>2</v>
      </c>
      <c r="C358" s="34" t="s">
        <v>89</v>
      </c>
      <c r="D358" s="2" t="s">
        <v>58</v>
      </c>
      <c r="E358" s="35">
        <f>SUM(E359:E360)</f>
        <v>7000000</v>
      </c>
      <c r="F358" s="3" t="s">
        <v>330</v>
      </c>
    </row>
    <row r="359" spans="1:6" x14ac:dyDescent="0.25">
      <c r="A359" s="3"/>
      <c r="B359" s="3"/>
      <c r="C359" s="34"/>
      <c r="D359" s="103" t="s">
        <v>331</v>
      </c>
      <c r="E359" s="104">
        <v>2000000</v>
      </c>
      <c r="F359" s="105" t="s">
        <v>1</v>
      </c>
    </row>
    <row r="360" spans="1:6" ht="19.5" customHeight="1" x14ac:dyDescent="0.25">
      <c r="A360" s="3"/>
      <c r="B360" s="3"/>
      <c r="C360" s="34"/>
      <c r="D360" s="103" t="s">
        <v>332</v>
      </c>
      <c r="E360" s="104">
        <v>5000000</v>
      </c>
      <c r="F360" s="105" t="s">
        <v>2</v>
      </c>
    </row>
    <row r="361" spans="1:6" ht="29.25" customHeight="1" x14ac:dyDescent="0.25">
      <c r="A361" s="3">
        <v>3</v>
      </c>
      <c r="B361" s="3">
        <v>2</v>
      </c>
      <c r="C361" s="34" t="s">
        <v>98</v>
      </c>
      <c r="D361" s="2" t="s">
        <v>59</v>
      </c>
      <c r="E361" s="35">
        <f>E362+E363</f>
        <v>5000000</v>
      </c>
      <c r="F361" s="3" t="s">
        <v>2</v>
      </c>
    </row>
    <row r="362" spans="1:6" x14ac:dyDescent="0.25">
      <c r="A362" s="3"/>
      <c r="B362" s="3"/>
      <c r="C362" s="34"/>
      <c r="D362" s="43" t="s">
        <v>333</v>
      </c>
      <c r="E362" s="109">
        <v>3500000</v>
      </c>
      <c r="F362" s="36" t="s">
        <v>2</v>
      </c>
    </row>
    <row r="363" spans="1:6" ht="18.75" customHeight="1" x14ac:dyDescent="0.25">
      <c r="A363" s="3"/>
      <c r="B363" s="3"/>
      <c r="C363" s="34"/>
      <c r="D363" s="43" t="s">
        <v>333</v>
      </c>
      <c r="E363" s="109">
        <v>1500000</v>
      </c>
      <c r="F363" s="36" t="s">
        <v>429</v>
      </c>
    </row>
    <row r="364" spans="1:6" hidden="1" x14ac:dyDescent="0.25">
      <c r="A364" s="3"/>
      <c r="B364" s="3"/>
      <c r="C364" s="34"/>
      <c r="D364" s="2"/>
      <c r="E364" s="109"/>
      <c r="F364" s="97"/>
    </row>
    <row r="365" spans="1:6" ht="30" hidden="1" x14ac:dyDescent="0.25">
      <c r="A365" s="5">
        <v>3</v>
      </c>
      <c r="B365" s="5">
        <v>2</v>
      </c>
      <c r="C365" s="53" t="s">
        <v>122</v>
      </c>
      <c r="D365" s="12" t="s">
        <v>334</v>
      </c>
      <c r="E365" s="75"/>
      <c r="F365" s="46"/>
    </row>
    <row r="366" spans="1:6" ht="45" hidden="1" x14ac:dyDescent="0.25">
      <c r="A366" s="5">
        <v>3</v>
      </c>
      <c r="B366" s="5">
        <v>2</v>
      </c>
      <c r="C366" s="53" t="s">
        <v>98</v>
      </c>
      <c r="D366" s="12" t="s">
        <v>335</v>
      </c>
      <c r="E366" s="75"/>
      <c r="F366" s="46"/>
    </row>
    <row r="367" spans="1:6" hidden="1" x14ac:dyDescent="0.25">
      <c r="A367" s="5"/>
      <c r="B367" s="5"/>
      <c r="C367" s="53"/>
      <c r="D367" s="4" t="s">
        <v>336</v>
      </c>
      <c r="E367" s="124">
        <v>0</v>
      </c>
      <c r="F367" s="46" t="s">
        <v>4</v>
      </c>
    </row>
    <row r="368" spans="1:6" hidden="1" x14ac:dyDescent="0.25">
      <c r="A368" s="5"/>
      <c r="B368" s="5"/>
      <c r="C368" s="53"/>
      <c r="D368" s="4" t="s">
        <v>337</v>
      </c>
      <c r="E368" s="124">
        <v>0</v>
      </c>
      <c r="F368" s="46" t="s">
        <v>338</v>
      </c>
    </row>
    <row r="369" spans="1:6" hidden="1" x14ac:dyDescent="0.25">
      <c r="A369" s="5"/>
      <c r="B369" s="5"/>
      <c r="C369" s="53"/>
      <c r="D369" s="4" t="s">
        <v>339</v>
      </c>
      <c r="E369" s="124">
        <v>0</v>
      </c>
      <c r="F369" s="46" t="s">
        <v>4</v>
      </c>
    </row>
    <row r="370" spans="1:6" ht="30" hidden="1" x14ac:dyDescent="0.25">
      <c r="A370" s="3">
        <v>3</v>
      </c>
      <c r="B370" s="3">
        <v>2</v>
      </c>
      <c r="C370" s="34" t="s">
        <v>122</v>
      </c>
      <c r="D370" s="2" t="s">
        <v>340</v>
      </c>
      <c r="E370" s="109">
        <v>0</v>
      </c>
      <c r="F370" s="97" t="s">
        <v>4</v>
      </c>
    </row>
    <row r="371" spans="1:6" hidden="1" x14ac:dyDescent="0.25">
      <c r="A371" s="5"/>
      <c r="B371" s="5"/>
      <c r="C371" s="53"/>
      <c r="D371" s="17" t="s">
        <v>341</v>
      </c>
      <c r="E371" s="124">
        <v>0</v>
      </c>
      <c r="F371" s="46" t="s">
        <v>4</v>
      </c>
    </row>
    <row r="372" spans="1:6" hidden="1" x14ac:dyDescent="0.25">
      <c r="A372" s="5"/>
      <c r="B372" s="5"/>
      <c r="C372" s="53"/>
      <c r="D372" s="2" t="s">
        <v>342</v>
      </c>
      <c r="E372" s="109">
        <v>0</v>
      </c>
      <c r="F372" s="97" t="s">
        <v>4</v>
      </c>
    </row>
    <row r="373" spans="1:6" x14ac:dyDescent="0.25">
      <c r="A373" s="125">
        <v>3</v>
      </c>
      <c r="B373" s="125">
        <v>3</v>
      </c>
      <c r="C373" s="125"/>
      <c r="D373" s="16" t="s">
        <v>61</v>
      </c>
      <c r="E373" s="126">
        <f>E374+E378+E379+E380+E381+E383</f>
        <v>12500000</v>
      </c>
      <c r="F373" s="125"/>
    </row>
    <row r="374" spans="1:6" ht="30" customHeight="1" x14ac:dyDescent="0.25">
      <c r="A374" s="3">
        <v>3</v>
      </c>
      <c r="B374" s="3">
        <v>3</v>
      </c>
      <c r="C374" s="34" t="s">
        <v>85</v>
      </c>
      <c r="D374" s="2" t="s">
        <v>62</v>
      </c>
      <c r="E374" s="35">
        <f>SUM(E375:E377)</f>
        <v>12500000</v>
      </c>
      <c r="F374" s="3" t="s">
        <v>2</v>
      </c>
    </row>
    <row r="375" spans="1:6" ht="18.75" customHeight="1" x14ac:dyDescent="0.25">
      <c r="A375" s="3"/>
      <c r="B375" s="3"/>
      <c r="C375" s="34"/>
      <c r="D375" s="43" t="s">
        <v>343</v>
      </c>
      <c r="E375" s="40">
        <v>2244600</v>
      </c>
      <c r="F375" s="36" t="s">
        <v>429</v>
      </c>
    </row>
    <row r="376" spans="1:6" ht="14.25" customHeight="1" x14ac:dyDescent="0.25">
      <c r="A376" s="3"/>
      <c r="B376" s="3"/>
      <c r="C376" s="34"/>
      <c r="D376" s="43" t="s">
        <v>344</v>
      </c>
      <c r="E376" s="40">
        <v>5255400</v>
      </c>
      <c r="F376" s="36" t="s">
        <v>2</v>
      </c>
    </row>
    <row r="377" spans="1:6" ht="18" customHeight="1" x14ac:dyDescent="0.25">
      <c r="A377" s="3"/>
      <c r="B377" s="3"/>
      <c r="C377" s="34"/>
      <c r="D377" s="43" t="s">
        <v>414</v>
      </c>
      <c r="E377" s="37">
        <v>5000000</v>
      </c>
      <c r="F377" s="36" t="s">
        <v>2</v>
      </c>
    </row>
    <row r="378" spans="1:6" hidden="1" x14ac:dyDescent="0.25">
      <c r="A378" s="5">
        <v>3</v>
      </c>
      <c r="B378" s="5">
        <v>3</v>
      </c>
      <c r="C378" s="53" t="s">
        <v>89</v>
      </c>
      <c r="D378" s="12" t="s">
        <v>345</v>
      </c>
      <c r="E378" s="75"/>
      <c r="F378" s="46"/>
    </row>
    <row r="379" spans="1:6" ht="30" hidden="1" x14ac:dyDescent="0.25">
      <c r="A379" s="5">
        <v>3</v>
      </c>
      <c r="B379" s="5">
        <v>3</v>
      </c>
      <c r="C379" s="53" t="s">
        <v>98</v>
      </c>
      <c r="D379" s="12" t="s">
        <v>346</v>
      </c>
      <c r="E379" s="75"/>
      <c r="F379" s="46"/>
    </row>
    <row r="380" spans="1:6" ht="30" hidden="1" x14ac:dyDescent="0.25">
      <c r="A380" s="5">
        <v>3</v>
      </c>
      <c r="B380" s="5">
        <v>3</v>
      </c>
      <c r="C380" s="53" t="s">
        <v>109</v>
      </c>
      <c r="D380" s="12" t="s">
        <v>347</v>
      </c>
      <c r="E380" s="75"/>
      <c r="F380" s="46"/>
    </row>
    <row r="381" spans="1:6" ht="30" hidden="1" x14ac:dyDescent="0.25">
      <c r="A381" s="3">
        <v>3</v>
      </c>
      <c r="B381" s="3">
        <v>3</v>
      </c>
      <c r="C381" s="34" t="s">
        <v>122</v>
      </c>
      <c r="D381" s="2" t="s">
        <v>348</v>
      </c>
      <c r="E381" s="35">
        <f>E382</f>
        <v>0</v>
      </c>
      <c r="F381" s="3" t="s">
        <v>1</v>
      </c>
    </row>
    <row r="382" spans="1:6" hidden="1" x14ac:dyDescent="0.25">
      <c r="A382" s="5"/>
      <c r="B382" s="5"/>
      <c r="C382" s="53"/>
      <c r="D382" s="71" t="s">
        <v>349</v>
      </c>
      <c r="E382" s="50">
        <v>0</v>
      </c>
      <c r="F382" s="42" t="s">
        <v>1</v>
      </c>
    </row>
    <row r="383" spans="1:6" hidden="1" x14ac:dyDescent="0.25">
      <c r="A383" s="3">
        <v>3</v>
      </c>
      <c r="B383" s="3">
        <v>3</v>
      </c>
      <c r="C383" s="34" t="s">
        <v>125</v>
      </c>
      <c r="D383" s="2" t="s">
        <v>350</v>
      </c>
      <c r="E383" s="35">
        <f>SUM(E384:E384)</f>
        <v>0</v>
      </c>
      <c r="F383" s="3" t="s">
        <v>1</v>
      </c>
    </row>
    <row r="384" spans="1:6" hidden="1" x14ac:dyDescent="0.25">
      <c r="A384" s="3"/>
      <c r="B384" s="3"/>
      <c r="C384" s="34"/>
      <c r="D384" s="43" t="s">
        <v>351</v>
      </c>
      <c r="E384" s="37">
        <v>0</v>
      </c>
      <c r="F384" s="36" t="s">
        <v>1</v>
      </c>
    </row>
    <row r="385" spans="1:6" x14ac:dyDescent="0.25">
      <c r="A385" s="125">
        <v>3</v>
      </c>
      <c r="B385" s="125">
        <v>4</v>
      </c>
      <c r="C385" s="125"/>
      <c r="D385" s="16" t="s">
        <v>63</v>
      </c>
      <c r="E385" s="126">
        <f>E386+E387+E390</f>
        <v>27000000</v>
      </c>
      <c r="F385" s="125"/>
    </row>
    <row r="386" spans="1:6" ht="16.5" hidden="1" customHeight="1" x14ac:dyDescent="0.25">
      <c r="A386" s="5">
        <v>3</v>
      </c>
      <c r="B386" s="5">
        <v>4</v>
      </c>
      <c r="C386" s="53" t="s">
        <v>85</v>
      </c>
      <c r="D386" s="12" t="s">
        <v>352</v>
      </c>
      <c r="E386" s="54"/>
      <c r="F386" s="46"/>
    </row>
    <row r="387" spans="1:6" s="188" customFormat="1" x14ac:dyDescent="0.25">
      <c r="A387" s="3">
        <v>3</v>
      </c>
      <c r="B387" s="3">
        <v>4</v>
      </c>
      <c r="C387" s="132" t="s">
        <v>89</v>
      </c>
      <c r="D387" s="2" t="s">
        <v>64</v>
      </c>
      <c r="E387" s="35">
        <f>SUM(E388:E389)</f>
        <v>10000000</v>
      </c>
      <c r="F387" s="3" t="s">
        <v>2</v>
      </c>
    </row>
    <row r="388" spans="1:6" ht="14.25" hidden="1" customHeight="1" x14ac:dyDescent="0.25">
      <c r="A388" s="5"/>
      <c r="B388" s="5"/>
      <c r="C388" s="47"/>
      <c r="D388" s="71" t="s">
        <v>353</v>
      </c>
      <c r="E388" s="50">
        <v>0</v>
      </c>
      <c r="F388" s="42" t="s">
        <v>0</v>
      </c>
    </row>
    <row r="389" spans="1:6" ht="11.25" customHeight="1" x14ac:dyDescent="0.25">
      <c r="A389" s="5"/>
      <c r="B389" s="5"/>
      <c r="C389" s="47"/>
      <c r="D389" s="71" t="s">
        <v>353</v>
      </c>
      <c r="E389" s="50">
        <v>10000000</v>
      </c>
      <c r="F389" s="42" t="s">
        <v>2</v>
      </c>
    </row>
    <row r="390" spans="1:6" x14ac:dyDescent="0.25">
      <c r="A390" s="5">
        <v>3</v>
      </c>
      <c r="B390" s="5">
        <v>4</v>
      </c>
      <c r="C390" s="53" t="s">
        <v>98</v>
      </c>
      <c r="D390" s="127" t="s">
        <v>65</v>
      </c>
      <c r="E390" s="54">
        <f>SUM(E391:E392)</f>
        <v>17000000</v>
      </c>
      <c r="F390" s="5"/>
    </row>
    <row r="391" spans="1:6" x14ac:dyDescent="0.25">
      <c r="A391" s="5"/>
      <c r="B391" s="5"/>
      <c r="C391" s="47"/>
      <c r="D391" s="71" t="s">
        <v>354</v>
      </c>
      <c r="E391" s="50">
        <v>17000000</v>
      </c>
      <c r="F391" s="42" t="s">
        <v>1</v>
      </c>
    </row>
    <row r="392" spans="1:6" hidden="1" x14ac:dyDescent="0.25">
      <c r="A392" s="5"/>
      <c r="B392" s="5"/>
      <c r="C392" s="47"/>
      <c r="D392" s="71"/>
      <c r="E392" s="50">
        <v>0</v>
      </c>
      <c r="F392" s="42" t="s">
        <v>6</v>
      </c>
    </row>
    <row r="393" spans="1:6" x14ac:dyDescent="0.25">
      <c r="A393" s="128">
        <v>4</v>
      </c>
      <c r="B393" s="129"/>
      <c r="C393" s="129"/>
      <c r="D393" s="14" t="s">
        <v>66</v>
      </c>
      <c r="E393" s="130">
        <f>E394+E399+E412+E417+E425+E432+E436</f>
        <v>130000000</v>
      </c>
      <c r="F393" s="129"/>
    </row>
    <row r="394" spans="1:6" hidden="1" x14ac:dyDescent="0.25">
      <c r="A394" s="125">
        <v>4</v>
      </c>
      <c r="B394" s="125">
        <v>1</v>
      </c>
      <c r="C394" s="125"/>
      <c r="D394" s="16" t="s">
        <v>355</v>
      </c>
      <c r="E394" s="126">
        <f>E395+E397</f>
        <v>0</v>
      </c>
      <c r="F394" s="125" t="s">
        <v>3</v>
      </c>
    </row>
    <row r="395" spans="1:6" hidden="1" x14ac:dyDescent="0.25">
      <c r="A395" s="5">
        <v>4</v>
      </c>
      <c r="B395" s="5">
        <v>1</v>
      </c>
      <c r="C395" s="53" t="s">
        <v>122</v>
      </c>
      <c r="D395" s="12" t="s">
        <v>356</v>
      </c>
      <c r="E395" s="75">
        <v>0</v>
      </c>
      <c r="F395" s="46"/>
    </row>
    <row r="396" spans="1:6" hidden="1" x14ac:dyDescent="0.25">
      <c r="A396" s="5"/>
      <c r="B396" s="5"/>
      <c r="C396" s="53"/>
      <c r="D396" s="12"/>
      <c r="E396" s="75"/>
      <c r="F396" s="46"/>
    </row>
    <row r="397" spans="1:6" ht="30" hidden="1" x14ac:dyDescent="0.25">
      <c r="A397" s="3">
        <v>4</v>
      </c>
      <c r="B397" s="3">
        <v>1</v>
      </c>
      <c r="C397" s="34" t="s">
        <v>125</v>
      </c>
      <c r="D397" s="2" t="s">
        <v>357</v>
      </c>
      <c r="E397" s="109">
        <f>SUM(E398:E398)</f>
        <v>0</v>
      </c>
      <c r="F397" s="97"/>
    </row>
    <row r="398" spans="1:6" hidden="1" x14ac:dyDescent="0.25">
      <c r="A398" s="5"/>
      <c r="B398" s="5"/>
      <c r="C398" s="53"/>
      <c r="D398" s="12"/>
      <c r="E398" s="75"/>
      <c r="F398" s="46"/>
    </row>
    <row r="399" spans="1:6" x14ac:dyDescent="0.25">
      <c r="A399" s="125">
        <v>4</v>
      </c>
      <c r="B399" s="125">
        <v>2</v>
      </c>
      <c r="C399" s="131"/>
      <c r="D399" s="16" t="s">
        <v>67</v>
      </c>
      <c r="E399" s="126">
        <f>E400+E402+E406+E408</f>
        <v>120000000</v>
      </c>
      <c r="F399" s="125" t="s">
        <v>3</v>
      </c>
    </row>
    <row r="400" spans="1:6" ht="30" x14ac:dyDescent="0.25">
      <c r="A400" s="3">
        <v>4</v>
      </c>
      <c r="B400" s="97">
        <v>2</v>
      </c>
      <c r="C400" s="132" t="s">
        <v>85</v>
      </c>
      <c r="D400" s="107" t="s">
        <v>358</v>
      </c>
      <c r="E400" s="35">
        <f>E401</f>
        <v>60000000</v>
      </c>
      <c r="F400" s="76" t="s">
        <v>3</v>
      </c>
    </row>
    <row r="401" spans="1:9" x14ac:dyDescent="0.25">
      <c r="A401" s="5"/>
      <c r="B401" s="46"/>
      <c r="C401" s="47"/>
      <c r="D401" s="71" t="s">
        <v>501</v>
      </c>
      <c r="E401" s="37">
        <v>60000000</v>
      </c>
      <c r="F401" s="36" t="s">
        <v>3</v>
      </c>
      <c r="H401" s="173">
        <f>E399+E264</f>
        <v>260000000</v>
      </c>
      <c r="I401" s="173">
        <f>H401/M5*100</f>
        <v>23.300977834496738</v>
      </c>
    </row>
    <row r="402" spans="1:9" ht="30" x14ac:dyDescent="0.25">
      <c r="A402" s="3">
        <v>4</v>
      </c>
      <c r="B402" s="3">
        <v>2</v>
      </c>
      <c r="C402" s="34" t="s">
        <v>89</v>
      </c>
      <c r="D402" s="2" t="s">
        <v>68</v>
      </c>
      <c r="E402" s="35">
        <f>E403</f>
        <v>60000000</v>
      </c>
      <c r="F402" s="76" t="s">
        <v>3</v>
      </c>
      <c r="H402" s="224">
        <f>M5*20%</f>
        <v>223166600</v>
      </c>
    </row>
    <row r="403" spans="1:9" x14ac:dyDescent="0.25">
      <c r="A403" s="3"/>
      <c r="B403" s="97"/>
      <c r="C403" s="132"/>
      <c r="D403" s="43" t="s">
        <v>465</v>
      </c>
      <c r="E403" s="50">
        <v>60000000</v>
      </c>
      <c r="F403" s="42" t="s">
        <v>3</v>
      </c>
      <c r="H403" s="173">
        <f>E403/5000000</f>
        <v>12</v>
      </c>
    </row>
    <row r="404" spans="1:9" hidden="1" x14ac:dyDescent="0.25">
      <c r="A404" s="133"/>
      <c r="B404" s="134"/>
      <c r="C404" s="135"/>
      <c r="D404" s="136" t="s">
        <v>360</v>
      </c>
      <c r="E404" s="137">
        <v>0</v>
      </c>
      <c r="F404" s="138"/>
    </row>
    <row r="405" spans="1:9" hidden="1" x14ac:dyDescent="0.25">
      <c r="A405" s="5"/>
      <c r="B405" s="46"/>
      <c r="C405" s="47"/>
      <c r="D405" s="71" t="s">
        <v>361</v>
      </c>
      <c r="E405" s="50">
        <v>0</v>
      </c>
      <c r="F405" s="42"/>
    </row>
    <row r="406" spans="1:9" hidden="1" x14ac:dyDescent="0.25">
      <c r="A406" s="3">
        <v>4</v>
      </c>
      <c r="B406" s="97">
        <v>2</v>
      </c>
      <c r="C406" s="132" t="s">
        <v>98</v>
      </c>
      <c r="D406" s="107" t="s">
        <v>362</v>
      </c>
      <c r="E406" s="35">
        <f>E407</f>
        <v>0</v>
      </c>
      <c r="F406" s="3" t="s">
        <v>3</v>
      </c>
    </row>
    <row r="407" spans="1:9" hidden="1" x14ac:dyDescent="0.25">
      <c r="A407" s="5"/>
      <c r="B407" s="46"/>
      <c r="C407" s="47"/>
      <c r="D407" s="71" t="s">
        <v>363</v>
      </c>
      <c r="E407" s="50">
        <v>0</v>
      </c>
      <c r="F407" s="42" t="s">
        <v>3</v>
      </c>
    </row>
    <row r="408" spans="1:9" ht="30" hidden="1" x14ac:dyDescent="0.25">
      <c r="A408" s="3">
        <v>4</v>
      </c>
      <c r="B408" s="97">
        <v>2</v>
      </c>
      <c r="C408" s="132" t="s">
        <v>122</v>
      </c>
      <c r="D408" s="107" t="s">
        <v>364</v>
      </c>
      <c r="E408" s="35">
        <f>SUM(E409:E411)</f>
        <v>0</v>
      </c>
      <c r="F408" s="76" t="s">
        <v>3</v>
      </c>
    </row>
    <row r="409" spans="1:9" hidden="1" x14ac:dyDescent="0.25">
      <c r="A409" s="5"/>
      <c r="B409" s="46"/>
      <c r="C409" s="47"/>
      <c r="D409" s="71" t="s">
        <v>365</v>
      </c>
      <c r="E409" s="50">
        <v>0</v>
      </c>
      <c r="F409" s="42"/>
    </row>
    <row r="410" spans="1:9" hidden="1" x14ac:dyDescent="0.25">
      <c r="A410" s="5"/>
      <c r="B410" s="46"/>
      <c r="C410" s="47"/>
      <c r="D410" s="71"/>
      <c r="E410" s="50"/>
      <c r="F410" s="42"/>
    </row>
    <row r="411" spans="1:9" hidden="1" x14ac:dyDescent="0.25">
      <c r="A411" s="5"/>
      <c r="B411" s="46"/>
      <c r="C411" s="47"/>
      <c r="D411" s="71"/>
      <c r="E411" s="50"/>
      <c r="F411" s="42"/>
    </row>
    <row r="412" spans="1:9" x14ac:dyDescent="0.25">
      <c r="A412" s="125">
        <v>4</v>
      </c>
      <c r="B412" s="125">
        <v>3</v>
      </c>
      <c r="C412" s="125"/>
      <c r="D412" s="16" t="s">
        <v>69</v>
      </c>
      <c r="E412" s="126">
        <f>SUM(E413:E416)</f>
        <v>5000000</v>
      </c>
      <c r="F412" s="125" t="s">
        <v>0</v>
      </c>
    </row>
    <row r="413" spans="1:9" x14ac:dyDescent="0.25">
      <c r="A413" s="5">
        <v>4</v>
      </c>
      <c r="B413" s="5">
        <v>3</v>
      </c>
      <c r="C413" s="47" t="s">
        <v>85</v>
      </c>
      <c r="D413" s="17" t="s">
        <v>70</v>
      </c>
      <c r="E413" s="91">
        <v>2000000</v>
      </c>
      <c r="F413" s="46" t="s">
        <v>0</v>
      </c>
    </row>
    <row r="414" spans="1:9" x14ac:dyDescent="0.25">
      <c r="A414" s="5">
        <v>4</v>
      </c>
      <c r="B414" s="5">
        <v>3</v>
      </c>
      <c r="C414" s="47" t="s">
        <v>89</v>
      </c>
      <c r="D414" s="17" t="s">
        <v>71</v>
      </c>
      <c r="E414" s="91">
        <v>1000000</v>
      </c>
      <c r="F414" s="46" t="s">
        <v>0</v>
      </c>
    </row>
    <row r="415" spans="1:9" x14ac:dyDescent="0.25">
      <c r="A415" s="5"/>
      <c r="B415" s="5"/>
      <c r="C415" s="47"/>
      <c r="D415" s="17" t="s">
        <v>71</v>
      </c>
      <c r="E415" s="91">
        <v>1000000</v>
      </c>
      <c r="F415" s="46" t="s">
        <v>1</v>
      </c>
    </row>
    <row r="416" spans="1:9" x14ac:dyDescent="0.25">
      <c r="A416" s="5">
        <v>4</v>
      </c>
      <c r="B416" s="5">
        <v>3</v>
      </c>
      <c r="C416" s="47" t="s">
        <v>98</v>
      </c>
      <c r="D416" s="17" t="s">
        <v>72</v>
      </c>
      <c r="E416" s="91">
        <v>1000000</v>
      </c>
      <c r="F416" s="46" t="s">
        <v>1</v>
      </c>
      <c r="I416">
        <v>963625000</v>
      </c>
    </row>
    <row r="417" spans="1:9" ht="30" x14ac:dyDescent="0.25">
      <c r="A417" s="121">
        <v>4</v>
      </c>
      <c r="B417" s="121">
        <v>4</v>
      </c>
      <c r="C417" s="139"/>
      <c r="D417" s="140" t="s">
        <v>73</v>
      </c>
      <c r="E417" s="122">
        <f>E418+E421+E423</f>
        <v>5000000</v>
      </c>
      <c r="F417" s="121" t="s">
        <v>3</v>
      </c>
      <c r="I417">
        <f>I416*10%</f>
        <v>96362500</v>
      </c>
    </row>
    <row r="418" spans="1:9" x14ac:dyDescent="0.25">
      <c r="A418" s="5">
        <v>4</v>
      </c>
      <c r="B418" s="5">
        <v>4</v>
      </c>
      <c r="C418" s="47" t="s">
        <v>85</v>
      </c>
      <c r="D418" s="12" t="s">
        <v>74</v>
      </c>
      <c r="E418" s="54">
        <f>SUM(E419:E420)</f>
        <v>5000000</v>
      </c>
      <c r="F418" s="46" t="s">
        <v>3</v>
      </c>
      <c r="H418" s="173">
        <f>E445-1878630.75</f>
        <v>2253738.5</v>
      </c>
      <c r="I418">
        <f>I417/3600000</f>
        <v>26.767361111111111</v>
      </c>
    </row>
    <row r="419" spans="1:9" x14ac:dyDescent="0.25">
      <c r="A419" s="5"/>
      <c r="B419" s="5"/>
      <c r="C419" s="47"/>
      <c r="D419" s="71" t="s">
        <v>366</v>
      </c>
      <c r="E419" s="50">
        <v>5000000</v>
      </c>
      <c r="F419" s="42" t="s">
        <v>3</v>
      </c>
      <c r="I419">
        <f>30*3600000</f>
        <v>108000000</v>
      </c>
    </row>
    <row r="420" spans="1:9" hidden="1" x14ac:dyDescent="0.25">
      <c r="A420" s="5"/>
      <c r="B420" s="5"/>
      <c r="C420" s="47"/>
      <c r="D420" s="71"/>
      <c r="E420" s="50"/>
      <c r="F420" s="42"/>
    </row>
    <row r="421" spans="1:9" hidden="1" x14ac:dyDescent="0.25">
      <c r="A421" s="5">
        <v>4</v>
      </c>
      <c r="B421" s="5">
        <v>4</v>
      </c>
      <c r="C421" s="47" t="s">
        <v>89</v>
      </c>
      <c r="D421" s="12" t="s">
        <v>367</v>
      </c>
      <c r="E421" s="54">
        <f>E422</f>
        <v>0</v>
      </c>
      <c r="F421" s="46" t="s">
        <v>3</v>
      </c>
    </row>
    <row r="422" spans="1:9" hidden="1" x14ac:dyDescent="0.25">
      <c r="A422" s="5"/>
      <c r="B422" s="5"/>
      <c r="C422" s="47"/>
      <c r="D422" s="71"/>
      <c r="E422" s="50"/>
      <c r="F422" s="42"/>
    </row>
    <row r="423" spans="1:9" hidden="1" x14ac:dyDescent="0.25">
      <c r="A423" s="5">
        <v>4</v>
      </c>
      <c r="B423" s="5">
        <v>4</v>
      </c>
      <c r="C423" s="47" t="s">
        <v>98</v>
      </c>
      <c r="D423" s="12" t="s">
        <v>368</v>
      </c>
      <c r="E423" s="54">
        <f>SUM(E424)</f>
        <v>0</v>
      </c>
      <c r="F423" s="46" t="s">
        <v>3</v>
      </c>
    </row>
    <row r="424" spans="1:9" hidden="1" x14ac:dyDescent="0.25">
      <c r="A424" s="5"/>
      <c r="B424" s="5"/>
      <c r="C424" s="47"/>
      <c r="D424" s="12"/>
      <c r="E424" s="54"/>
      <c r="F424" s="46"/>
    </row>
    <row r="425" spans="1:9" hidden="1" x14ac:dyDescent="0.25">
      <c r="A425" s="125">
        <v>4</v>
      </c>
      <c r="B425" s="125">
        <v>5</v>
      </c>
      <c r="C425" s="125"/>
      <c r="D425" s="16" t="s">
        <v>369</v>
      </c>
      <c r="E425" s="126">
        <f>E426+E428+E430</f>
        <v>0</v>
      </c>
      <c r="F425" s="125" t="s">
        <v>3</v>
      </c>
    </row>
    <row r="426" spans="1:9" hidden="1" x14ac:dyDescent="0.25">
      <c r="A426" s="3">
        <v>4</v>
      </c>
      <c r="B426" s="3">
        <v>5</v>
      </c>
      <c r="C426" s="132" t="s">
        <v>85</v>
      </c>
      <c r="D426" s="2" t="s">
        <v>370</v>
      </c>
      <c r="E426" s="35">
        <f>E427</f>
        <v>0</v>
      </c>
      <c r="F426" s="97"/>
    </row>
    <row r="427" spans="1:9" hidden="1" x14ac:dyDescent="0.25">
      <c r="A427" s="5"/>
      <c r="B427" s="5"/>
      <c r="C427" s="47"/>
      <c r="D427" s="12"/>
      <c r="E427" s="54"/>
      <c r="F427" s="46"/>
    </row>
    <row r="428" spans="1:9" hidden="1" x14ac:dyDescent="0.25">
      <c r="A428" s="3">
        <v>4</v>
      </c>
      <c r="B428" s="3">
        <v>5</v>
      </c>
      <c r="C428" s="132" t="s">
        <v>89</v>
      </c>
      <c r="D428" s="2" t="s">
        <v>371</v>
      </c>
      <c r="E428" s="35">
        <f>E429</f>
        <v>0</v>
      </c>
      <c r="F428" s="97"/>
    </row>
    <row r="429" spans="1:9" hidden="1" x14ac:dyDescent="0.25">
      <c r="A429" s="3"/>
      <c r="B429" s="3"/>
      <c r="C429" s="132"/>
      <c r="D429" s="2"/>
      <c r="E429" s="35"/>
      <c r="F429" s="97"/>
    </row>
    <row r="430" spans="1:9" ht="30" hidden="1" x14ac:dyDescent="0.25">
      <c r="A430" s="3">
        <v>4</v>
      </c>
      <c r="B430" s="3">
        <v>5</v>
      </c>
      <c r="C430" s="132" t="s">
        <v>98</v>
      </c>
      <c r="D430" s="2" t="s">
        <v>372</v>
      </c>
      <c r="E430" s="35">
        <f>E431</f>
        <v>0</v>
      </c>
      <c r="F430" s="97"/>
    </row>
    <row r="431" spans="1:9" hidden="1" x14ac:dyDescent="0.25">
      <c r="A431" s="3"/>
      <c r="B431" s="3"/>
      <c r="C431" s="132"/>
      <c r="D431" s="2"/>
      <c r="E431" s="35"/>
      <c r="F431" s="97"/>
    </row>
    <row r="432" spans="1:9" hidden="1" x14ac:dyDescent="0.25">
      <c r="A432" s="125">
        <v>4</v>
      </c>
      <c r="B432" s="125">
        <v>6</v>
      </c>
      <c r="C432" s="125"/>
      <c r="D432" s="16" t="s">
        <v>373</v>
      </c>
      <c r="E432" s="126">
        <f>E433</f>
        <v>0</v>
      </c>
      <c r="F432" s="125" t="s">
        <v>3</v>
      </c>
    </row>
    <row r="433" spans="1:11" hidden="1" x14ac:dyDescent="0.25">
      <c r="A433" s="3">
        <v>4</v>
      </c>
      <c r="B433" s="3">
        <v>6</v>
      </c>
      <c r="C433" s="132" t="s">
        <v>89</v>
      </c>
      <c r="D433" s="2" t="s">
        <v>374</v>
      </c>
      <c r="E433" s="109">
        <f>SUM(E434:E435)</f>
        <v>0</v>
      </c>
      <c r="F433" s="97"/>
    </row>
    <row r="434" spans="1:11" hidden="1" x14ac:dyDescent="0.25">
      <c r="A434" s="5"/>
      <c r="B434" s="5"/>
      <c r="C434" s="46"/>
      <c r="D434" s="12"/>
      <c r="E434" s="75"/>
      <c r="F434" s="46"/>
    </row>
    <row r="435" spans="1:11" hidden="1" x14ac:dyDescent="0.25">
      <c r="A435" s="5"/>
      <c r="B435" s="5"/>
      <c r="C435" s="47"/>
      <c r="D435" s="71"/>
      <c r="E435" s="50"/>
      <c r="F435" s="42"/>
    </row>
    <row r="436" spans="1:11" hidden="1" x14ac:dyDescent="0.25">
      <c r="A436" s="125">
        <v>4</v>
      </c>
      <c r="B436" s="125">
        <v>7</v>
      </c>
      <c r="C436" s="125"/>
      <c r="D436" s="16" t="s">
        <v>375</v>
      </c>
      <c r="E436" s="126">
        <f>E437+E440</f>
        <v>0</v>
      </c>
      <c r="F436" s="125"/>
    </row>
    <row r="437" spans="1:11" ht="30" hidden="1" x14ac:dyDescent="0.25">
      <c r="A437" s="3">
        <v>4</v>
      </c>
      <c r="B437" s="3">
        <v>7</v>
      </c>
      <c r="C437" s="34" t="s">
        <v>89</v>
      </c>
      <c r="D437" s="2" t="s">
        <v>376</v>
      </c>
      <c r="E437" s="35">
        <f>SUM(E438:E439)</f>
        <v>0</v>
      </c>
      <c r="F437" s="3" t="s">
        <v>3</v>
      </c>
    </row>
    <row r="438" spans="1:11" hidden="1" x14ac:dyDescent="0.25">
      <c r="A438" s="46"/>
      <c r="B438" s="46"/>
      <c r="C438" s="46"/>
      <c r="D438" s="71" t="s">
        <v>377</v>
      </c>
      <c r="E438" s="50">
        <v>0</v>
      </c>
      <c r="F438" s="42" t="s">
        <v>3</v>
      </c>
    </row>
    <row r="439" spans="1:11" hidden="1" x14ac:dyDescent="0.25">
      <c r="A439" s="46"/>
      <c r="B439" s="46"/>
      <c r="C439" s="46"/>
      <c r="D439" s="71"/>
      <c r="E439" s="50"/>
      <c r="F439" s="42"/>
    </row>
    <row r="440" spans="1:11" ht="30" hidden="1" x14ac:dyDescent="0.25">
      <c r="A440" s="3">
        <v>4</v>
      </c>
      <c r="B440" s="3">
        <v>7</v>
      </c>
      <c r="C440" s="34" t="s">
        <v>109</v>
      </c>
      <c r="D440" s="2" t="s">
        <v>378</v>
      </c>
      <c r="E440" s="35">
        <f>SUM(E441:E442)</f>
        <v>0</v>
      </c>
      <c r="F440" s="3" t="s">
        <v>3</v>
      </c>
    </row>
    <row r="441" spans="1:11" hidden="1" x14ac:dyDescent="0.25">
      <c r="A441" s="46"/>
      <c r="B441" s="46"/>
      <c r="C441" s="46"/>
      <c r="D441" s="71" t="s">
        <v>379</v>
      </c>
      <c r="E441" s="50">
        <v>0</v>
      </c>
      <c r="F441" s="42"/>
    </row>
    <row r="442" spans="1:11" hidden="1" x14ac:dyDescent="0.25">
      <c r="A442" s="46"/>
      <c r="B442" s="46"/>
      <c r="C442" s="46"/>
      <c r="D442" s="71"/>
      <c r="E442" s="50"/>
      <c r="F442" s="42"/>
    </row>
    <row r="443" spans="1:11" ht="27" x14ac:dyDescent="0.25">
      <c r="A443" s="141">
        <v>5</v>
      </c>
      <c r="B443" s="141"/>
      <c r="C443" s="141"/>
      <c r="D443" s="18" t="s">
        <v>75</v>
      </c>
      <c r="E443" s="142">
        <f>E444+E446+E448</f>
        <v>115732369.25</v>
      </c>
      <c r="F443" s="141"/>
      <c r="I443">
        <f>I419/I416*100</f>
        <v>11.207679335841226</v>
      </c>
    </row>
    <row r="444" spans="1:11" x14ac:dyDescent="0.25">
      <c r="A444" s="19">
        <v>5</v>
      </c>
      <c r="B444" s="19">
        <v>1</v>
      </c>
      <c r="C444" s="19"/>
      <c r="D444" s="19" t="s">
        <v>76</v>
      </c>
      <c r="E444" s="143">
        <f>E445</f>
        <v>4132369.25</v>
      </c>
      <c r="F444" s="19"/>
      <c r="H444" t="s">
        <v>466</v>
      </c>
      <c r="I444" s="164">
        <f>36*5000000</f>
        <v>180000000</v>
      </c>
    </row>
    <row r="445" spans="1:11" x14ac:dyDescent="0.25">
      <c r="A445" s="46">
        <v>5</v>
      </c>
      <c r="B445" s="46">
        <v>1</v>
      </c>
      <c r="C445" s="47" t="s">
        <v>380</v>
      </c>
      <c r="D445" s="46" t="s">
        <v>381</v>
      </c>
      <c r="E445" s="75">
        <v>4132369.25</v>
      </c>
      <c r="F445" s="46" t="s">
        <v>3</v>
      </c>
      <c r="H445" t="s">
        <v>467</v>
      </c>
      <c r="I445" s="164">
        <f>84*10000000</f>
        <v>840000000</v>
      </c>
    </row>
    <row r="446" spans="1:11" x14ac:dyDescent="0.25">
      <c r="A446" s="19">
        <v>5</v>
      </c>
      <c r="B446" s="19">
        <v>2</v>
      </c>
      <c r="C446" s="19"/>
      <c r="D446" s="19" t="s">
        <v>77</v>
      </c>
      <c r="E446" s="143">
        <f>E447</f>
        <v>0</v>
      </c>
      <c r="F446" s="19"/>
    </row>
    <row r="447" spans="1:11" x14ac:dyDescent="0.25">
      <c r="A447" s="46">
        <v>5</v>
      </c>
      <c r="B447" s="46">
        <v>2</v>
      </c>
      <c r="C447" s="47" t="s">
        <v>380</v>
      </c>
      <c r="D447" s="46" t="s">
        <v>382</v>
      </c>
      <c r="E447" s="75">
        <v>0</v>
      </c>
      <c r="F447" s="46" t="s">
        <v>9</v>
      </c>
      <c r="H447" s="173">
        <f>E445+277500</f>
        <v>4409869.25</v>
      </c>
    </row>
    <row r="448" spans="1:11" x14ac:dyDescent="0.25">
      <c r="A448" s="19">
        <v>5</v>
      </c>
      <c r="B448" s="19">
        <v>3</v>
      </c>
      <c r="C448" s="19"/>
      <c r="D448" s="19" t="s">
        <v>78</v>
      </c>
      <c r="E448" s="143">
        <f>E449</f>
        <v>111600000</v>
      </c>
      <c r="F448" s="19"/>
      <c r="J448" s="215" t="s">
        <v>491</v>
      </c>
      <c r="K448" s="215" t="s">
        <v>492</v>
      </c>
    </row>
    <row r="449" spans="1:13" x14ac:dyDescent="0.25">
      <c r="A449" s="46">
        <v>5</v>
      </c>
      <c r="B449" s="46">
        <v>3</v>
      </c>
      <c r="C449" s="47" t="s">
        <v>380</v>
      </c>
      <c r="D449" s="46" t="s">
        <v>383</v>
      </c>
      <c r="E449" s="75">
        <f>E450</f>
        <v>111600000</v>
      </c>
      <c r="F449" s="46" t="s">
        <v>3</v>
      </c>
      <c r="H449" s="219">
        <f>E450/M5*100</f>
        <v>10.001496639730139</v>
      </c>
      <c r="I449" t="s">
        <v>397</v>
      </c>
      <c r="J449" s="216">
        <f>M5*10%</f>
        <v>111583300</v>
      </c>
      <c r="K449" s="217">
        <f>J449/3600000</f>
        <v>30.995361111111112</v>
      </c>
      <c r="L449" s="164"/>
      <c r="M449" s="164"/>
    </row>
    <row r="450" spans="1:13" x14ac:dyDescent="0.25">
      <c r="A450" s="46"/>
      <c r="B450" s="46"/>
      <c r="C450" s="47"/>
      <c r="D450" s="55" t="s">
        <v>384</v>
      </c>
      <c r="E450" s="50">
        <v>111600000</v>
      </c>
      <c r="F450" s="42"/>
      <c r="H450" s="219">
        <f>E450/3600000</f>
        <v>31</v>
      </c>
      <c r="I450" t="s">
        <v>420</v>
      </c>
      <c r="J450" s="218"/>
      <c r="K450" s="218"/>
      <c r="L450" s="164"/>
      <c r="M450" s="164"/>
    </row>
    <row r="451" spans="1:13" x14ac:dyDescent="0.25">
      <c r="A451" s="144"/>
      <c r="B451" s="144"/>
      <c r="C451" s="144"/>
      <c r="D451" s="144" t="s">
        <v>385</v>
      </c>
      <c r="E451" s="145">
        <f>E452</f>
        <v>0</v>
      </c>
      <c r="F451" s="144"/>
      <c r="J451" s="218"/>
      <c r="K451" s="218"/>
      <c r="L451" s="164"/>
      <c r="M451" s="164"/>
    </row>
    <row r="452" spans="1:13" x14ac:dyDescent="0.25">
      <c r="A452" s="46"/>
      <c r="B452" s="46"/>
      <c r="C452" s="46"/>
      <c r="D452" s="46" t="s">
        <v>386</v>
      </c>
      <c r="E452" s="146">
        <v>0</v>
      </c>
      <c r="F452" s="46" t="s">
        <v>3</v>
      </c>
      <c r="H452" t="s">
        <v>482</v>
      </c>
      <c r="I452" s="164">
        <v>214995906.21000001</v>
      </c>
      <c r="J452" s="218"/>
      <c r="K452" s="218"/>
      <c r="L452" s="164"/>
      <c r="M452" s="164"/>
    </row>
    <row r="453" spans="1:13" x14ac:dyDescent="0.25">
      <c r="H453" t="s">
        <v>483</v>
      </c>
      <c r="I453" s="164">
        <v>214249589.21000001</v>
      </c>
      <c r="J453" s="218"/>
      <c r="K453" s="218"/>
      <c r="L453" s="164"/>
      <c r="M453" s="164"/>
    </row>
    <row r="454" spans="1:13" x14ac:dyDescent="0.25">
      <c r="H454" t="s">
        <v>401</v>
      </c>
      <c r="I454" s="164">
        <f>I452-I453</f>
        <v>746317</v>
      </c>
      <c r="J454" s="218"/>
      <c r="K454" s="218"/>
      <c r="L454" s="164"/>
      <c r="M454" s="164"/>
    </row>
    <row r="455" spans="1:13" x14ac:dyDescent="0.25">
      <c r="D455" s="192" t="s">
        <v>392</v>
      </c>
      <c r="E455" s="191">
        <f>E4+E156+E335+E393+E443</f>
        <v>2405651981.0599999</v>
      </c>
      <c r="I455" s="164"/>
      <c r="J455" s="164"/>
      <c r="K455" s="164"/>
      <c r="L455" s="164"/>
      <c r="M455" s="164"/>
    </row>
    <row r="456" spans="1:13" x14ac:dyDescent="0.25">
      <c r="D456" s="192" t="s">
        <v>422</v>
      </c>
      <c r="E456" s="191">
        <f>E455+E451</f>
        <v>2405651981.0599999</v>
      </c>
      <c r="H456" s="173">
        <f>E450/4</f>
        <v>27900000</v>
      </c>
      <c r="I456" s="164"/>
      <c r="J456" s="164"/>
      <c r="K456" s="164"/>
      <c r="L456" s="164"/>
      <c r="M456" s="164"/>
    </row>
    <row r="457" spans="1:13" x14ac:dyDescent="0.25">
      <c r="I457" s="164"/>
    </row>
    <row r="458" spans="1:13" x14ac:dyDescent="0.25">
      <c r="I458" s="164"/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1811023622047245" header="0.31496062992125984" footer="0.31496062992125984"/>
  <pageSetup paperSize="14" scale="8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57"/>
  <sheetViews>
    <sheetView zoomScaleNormal="100" workbookViewId="0">
      <selection activeCell="H162" sqref="H162"/>
    </sheetView>
  </sheetViews>
  <sheetFormatPr defaultRowHeight="15" x14ac:dyDescent="0.25"/>
  <cols>
    <col min="1" max="1" width="3.5703125" customWidth="1"/>
    <col min="2" max="2" width="2" bestFit="1" customWidth="1"/>
    <col min="3" max="3" width="3.5703125" bestFit="1" customWidth="1"/>
    <col min="4" max="4" width="58.7109375" customWidth="1"/>
    <col min="5" max="5" width="16.5703125" customWidth="1"/>
    <col min="6" max="6" width="14.85546875" customWidth="1"/>
    <col min="8" max="8" width="16.28515625" bestFit="1" customWidth="1"/>
    <col min="9" max="9" width="17.140625" customWidth="1"/>
    <col min="10" max="10" width="14.85546875" bestFit="1" customWidth="1"/>
    <col min="11" max="11" width="16.140625" customWidth="1"/>
    <col min="12" max="12" width="15.85546875" customWidth="1"/>
    <col min="13" max="13" width="16.42578125" bestFit="1" customWidth="1"/>
    <col min="14" max="14" width="13.140625" customWidth="1"/>
    <col min="15" max="15" width="14" customWidth="1"/>
    <col min="16" max="16" width="12.42578125" customWidth="1"/>
    <col min="17" max="17" width="16.85546875" bestFit="1" customWidth="1"/>
  </cols>
  <sheetData>
    <row r="1" spans="1:19" ht="9" customHeight="1" x14ac:dyDescent="0.25">
      <c r="A1" s="377" t="s">
        <v>495</v>
      </c>
      <c r="B1" s="377"/>
      <c r="C1" s="377"/>
      <c r="D1" s="377"/>
      <c r="E1" s="377"/>
      <c r="F1" s="377"/>
    </row>
    <row r="2" spans="1:19" ht="8.25" customHeight="1" x14ac:dyDescent="0.25">
      <c r="A2" s="378"/>
      <c r="B2" s="378"/>
      <c r="C2" s="378"/>
      <c r="D2" s="378"/>
      <c r="E2" s="378"/>
      <c r="F2" s="378"/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226" t="s">
        <v>80</v>
      </c>
      <c r="H3" s="173"/>
    </row>
    <row r="4" spans="1:19" x14ac:dyDescent="0.25">
      <c r="A4" s="7">
        <v>1</v>
      </c>
      <c r="B4" s="7"/>
      <c r="C4" s="7"/>
      <c r="D4" s="7" t="s">
        <v>21</v>
      </c>
      <c r="E4" s="31">
        <f>E5+E78+E98+E118+E148</f>
        <v>1134109111.8099999</v>
      </c>
      <c r="F4" s="32"/>
      <c r="H4" s="147" t="s">
        <v>387</v>
      </c>
      <c r="I4" s="148" t="s">
        <v>0</v>
      </c>
      <c r="J4" s="148" t="s">
        <v>1</v>
      </c>
      <c r="K4" s="148" t="s">
        <v>2</v>
      </c>
      <c r="L4" s="149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2254970800</v>
      </c>
      <c r="S4" s="150" t="s">
        <v>390</v>
      </c>
    </row>
    <row r="5" spans="1:19" ht="32.25" customHeight="1" x14ac:dyDescent="0.25">
      <c r="A5" s="8">
        <v>1</v>
      </c>
      <c r="B5" s="8">
        <v>1</v>
      </c>
      <c r="C5" s="8"/>
      <c r="D5" s="6" t="s">
        <v>20</v>
      </c>
      <c r="E5" s="33">
        <f>E6+E11+E19+E33+E52+E55+E62+E73+E75</f>
        <v>749408502.99000001</v>
      </c>
      <c r="F5" s="8"/>
      <c r="H5" s="147" t="s">
        <v>391</v>
      </c>
      <c r="I5" s="151">
        <f>PAGU!B11</f>
        <v>600882100</v>
      </c>
      <c r="J5" s="151">
        <f>PAGU!C28</f>
        <v>172811800</v>
      </c>
      <c r="K5" s="151">
        <f>PAGU!E28</f>
        <v>59043900</v>
      </c>
      <c r="L5" s="151">
        <v>38000000</v>
      </c>
      <c r="M5" s="151">
        <v>1115833000</v>
      </c>
      <c r="N5" s="152">
        <v>5000000</v>
      </c>
      <c r="O5" s="152">
        <v>56400000</v>
      </c>
      <c r="P5" s="153">
        <v>250000000</v>
      </c>
      <c r="Q5" s="154">
        <f>SUM(I5:P5)</f>
        <v>2297970800</v>
      </c>
      <c r="S5">
        <v>92931398</v>
      </c>
    </row>
    <row r="6" spans="1:19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72556000</v>
      </c>
      <c r="F6" s="3" t="s">
        <v>0</v>
      </c>
      <c r="H6" s="147" t="s">
        <v>392</v>
      </c>
      <c r="I6" s="151">
        <f>E7+E8+E12+E13+E15+E16+E17+E19+E34+E36+E40+E50+E51+E53+E61+E89+E90+E119+E133+E141+E184+E320+E321+E412+E413</f>
        <v>611510617.13</v>
      </c>
      <c r="J6" s="151">
        <f>E44+E49+E79+E86+E97+E99+E110+E111+E123+E127+E128+E129+E138+E149+E152+E168+E342+E343+E355+E358+E380+E382+E389+E414+E415</f>
        <v>175939800</v>
      </c>
      <c r="K6" s="151">
        <f>E47+E109+E136+E341+E359+E360++E373+E388</f>
        <v>62788500</v>
      </c>
      <c r="L6" s="151">
        <f>E9+E14+E18+E37+E43+E45+E46+E48+E54+E55-E61+E88+E91+E170</f>
        <v>44360808.82</v>
      </c>
      <c r="M6" s="151">
        <f>E62+E107+E158+E175+E182+E185+E186+E187+E188+E193+E196+E200+E207+E240+E242+E244+E263+E274+E279+E291+E295+E319+E331+E399+E401+E417+E444+E448</f>
        <v>1196954369.25</v>
      </c>
      <c r="N6" s="151">
        <f>E38+E41+E42</f>
        <v>7697885.8600000003</v>
      </c>
      <c r="O6" s="151">
        <f>E73+E75</f>
        <v>56400000</v>
      </c>
      <c r="P6" s="155">
        <f>E96</f>
        <v>250000000</v>
      </c>
      <c r="Q6" s="156">
        <f>SUM(I6:P6)</f>
        <v>2405651981.0599999</v>
      </c>
      <c r="R6" s="79"/>
      <c r="S6" s="157">
        <f>S5+Q7</f>
        <v>-14749783.059999943</v>
      </c>
    </row>
    <row r="7" spans="1:19" x14ac:dyDescent="0.25">
      <c r="A7" s="3"/>
      <c r="B7" s="3"/>
      <c r="C7" s="34"/>
      <c r="D7" s="36" t="s">
        <v>455</v>
      </c>
      <c r="E7" s="37">
        <v>48456000</v>
      </c>
      <c r="F7" s="37"/>
      <c r="H7" s="147"/>
      <c r="I7" s="155"/>
      <c r="J7" s="155"/>
      <c r="K7" s="155"/>
      <c r="L7" s="151"/>
      <c r="M7" s="155"/>
      <c r="N7" s="155"/>
      <c r="O7" s="155"/>
      <c r="P7" s="155"/>
      <c r="Q7" s="158">
        <f>Q5-Q6</f>
        <v>-107681181.05999994</v>
      </c>
      <c r="R7" s="79"/>
      <c r="S7" s="79"/>
    </row>
    <row r="8" spans="1:19" x14ac:dyDescent="0.25">
      <c r="A8" s="3"/>
      <c r="B8" s="3"/>
      <c r="C8" s="34"/>
      <c r="D8" s="36" t="s">
        <v>87</v>
      </c>
      <c r="E8" s="37">
        <v>22800000</v>
      </c>
      <c r="F8" s="37"/>
      <c r="H8" s="147" t="s">
        <v>393</v>
      </c>
      <c r="I8" s="152">
        <f>I5-I6</f>
        <v>-10628517.129999995</v>
      </c>
      <c r="J8" s="152">
        <f t="shared" ref="J8:P8" si="0">J5-J6</f>
        <v>-3128000</v>
      </c>
      <c r="K8" s="152">
        <f t="shared" si="0"/>
        <v>-3744600</v>
      </c>
      <c r="L8" s="152">
        <f t="shared" si="0"/>
        <v>-6360808.8200000003</v>
      </c>
      <c r="M8" s="151">
        <f>M5-M6</f>
        <v>-81121369.25</v>
      </c>
      <c r="N8" s="151">
        <f t="shared" si="0"/>
        <v>-2697885.8600000003</v>
      </c>
      <c r="O8" s="151">
        <f t="shared" si="0"/>
        <v>0</v>
      </c>
      <c r="P8" s="155">
        <f t="shared" si="0"/>
        <v>0</v>
      </c>
      <c r="Q8" s="156"/>
      <c r="R8" s="79"/>
      <c r="S8" s="79"/>
    </row>
    <row r="9" spans="1:19" x14ac:dyDescent="0.25">
      <c r="A9" s="3"/>
      <c r="B9" s="3"/>
      <c r="C9" s="34"/>
      <c r="D9" s="36" t="s">
        <v>88</v>
      </c>
      <c r="E9" s="37">
        <v>1300000</v>
      </c>
      <c r="F9" s="36" t="s">
        <v>6</v>
      </c>
      <c r="H9" s="79"/>
      <c r="I9" s="79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x14ac:dyDescent="0.25">
      <c r="A10" s="3"/>
      <c r="B10" s="3"/>
      <c r="C10" s="34"/>
      <c r="D10" s="38"/>
      <c r="E10" s="37"/>
      <c r="F10" s="3"/>
      <c r="H10" s="26" t="s">
        <v>395</v>
      </c>
      <c r="I10" s="25">
        <f>Q6-P6-O6</f>
        <v>2099251981.0599999</v>
      </c>
      <c r="J10" s="79">
        <v>630000000</v>
      </c>
      <c r="K10" s="159">
        <f>J5+K5</f>
        <v>231855700</v>
      </c>
      <c r="L10" s="159"/>
      <c r="M10" s="79">
        <f>M6*5%</f>
        <v>59847718.462500006</v>
      </c>
      <c r="N10" s="157"/>
      <c r="O10" s="157"/>
      <c r="P10" s="79"/>
      <c r="Q10" s="157"/>
      <c r="R10" s="79"/>
      <c r="S10" s="79"/>
    </row>
    <row r="11" spans="1:19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383418960</v>
      </c>
      <c r="F11" s="2" t="s">
        <v>90</v>
      </c>
      <c r="H11" s="160">
        <v>0.3</v>
      </c>
      <c r="I11" s="161">
        <f>I10*30%</f>
        <v>629775594.31799996</v>
      </c>
      <c r="K11" s="162">
        <f>J6+K6</f>
        <v>238728300</v>
      </c>
      <c r="L11" s="163"/>
      <c r="M11" s="164">
        <f>M5+M10</f>
        <v>1175680718.4625001</v>
      </c>
      <c r="Q11" s="165">
        <v>601441000</v>
      </c>
      <c r="R11" s="79"/>
      <c r="S11" s="79"/>
    </row>
    <row r="12" spans="1:19" x14ac:dyDescent="0.25">
      <c r="A12" s="3"/>
      <c r="B12" s="3"/>
      <c r="C12" s="34"/>
      <c r="D12" s="36" t="s">
        <v>456</v>
      </c>
      <c r="E12" s="37">
        <v>33919200</v>
      </c>
      <c r="F12" s="39" t="s">
        <v>0</v>
      </c>
      <c r="H12" s="20" t="s">
        <v>396</v>
      </c>
      <c r="I12" s="166">
        <f>E5-E33-E62-E73-E75</f>
        <v>529570560</v>
      </c>
      <c r="J12" s="167">
        <f>I12/I10*100</f>
        <v>25.226631427666806</v>
      </c>
      <c r="K12" s="168" t="s">
        <v>397</v>
      </c>
      <c r="L12" s="169">
        <f>I5*5%</f>
        <v>30044105</v>
      </c>
      <c r="M12" s="164">
        <f>M5+M19</f>
        <v>1196954369.25</v>
      </c>
      <c r="O12" s="164">
        <f>M5-239300000</f>
        <v>876533000</v>
      </c>
      <c r="P12" s="1"/>
      <c r="Q12" s="1">
        <v>582565000</v>
      </c>
      <c r="R12" s="79"/>
      <c r="S12" s="79"/>
    </row>
    <row r="13" spans="1:19" x14ac:dyDescent="0.25">
      <c r="A13" s="3"/>
      <c r="B13" s="3"/>
      <c r="C13" s="34"/>
      <c r="D13" s="36" t="s">
        <v>92</v>
      </c>
      <c r="E13" s="37">
        <v>16800000</v>
      </c>
      <c r="F13" s="39" t="s">
        <v>0</v>
      </c>
      <c r="H13" s="20" t="s">
        <v>398</v>
      </c>
      <c r="I13" s="170">
        <f>I11-I12</f>
        <v>100205034.31799996</v>
      </c>
      <c r="J13">
        <f>I5*5%</f>
        <v>30044105</v>
      </c>
      <c r="K13" s="171"/>
      <c r="L13" s="169"/>
      <c r="M13" s="164">
        <f>I5+J5+K5+M5+O5+P5</f>
        <v>2254970800</v>
      </c>
      <c r="Q13" s="164">
        <f>Q11-Q12</f>
        <v>18876000</v>
      </c>
      <c r="R13" s="79"/>
      <c r="S13" s="79"/>
    </row>
    <row r="14" spans="1:19" x14ac:dyDescent="0.25">
      <c r="A14" s="3"/>
      <c r="B14" s="3"/>
      <c r="C14" s="34"/>
      <c r="D14" s="36" t="s">
        <v>93</v>
      </c>
      <c r="E14" s="37">
        <v>1125000</v>
      </c>
      <c r="F14" s="39" t="s">
        <v>6</v>
      </c>
      <c r="H14" s="171"/>
      <c r="I14" s="172"/>
      <c r="J14" s="164">
        <f>I5+J13</f>
        <v>630926205</v>
      </c>
      <c r="K14" s="171"/>
      <c r="L14" s="169"/>
      <c r="M14" s="164"/>
      <c r="P14" t="s">
        <v>504</v>
      </c>
      <c r="Q14" s="164">
        <f>M5*25%</f>
        <v>278958250</v>
      </c>
      <c r="R14" s="79"/>
      <c r="S14" s="79"/>
    </row>
    <row r="15" spans="1:19" x14ac:dyDescent="0.25">
      <c r="A15" s="3"/>
      <c r="B15" s="3"/>
      <c r="C15" s="34"/>
      <c r="D15" s="36" t="s">
        <v>457</v>
      </c>
      <c r="E15" s="37">
        <v>218399760</v>
      </c>
      <c r="F15" s="36" t="s">
        <v>0</v>
      </c>
      <c r="H15" s="173">
        <f>E12+E15+E16</f>
        <v>252318960</v>
      </c>
      <c r="I15" s="173">
        <f>E14+E18</f>
        <v>6300000</v>
      </c>
      <c r="K15">
        <f>11*12</f>
        <v>132</v>
      </c>
      <c r="M15" s="173">
        <f>M5*8%</f>
        <v>89266640</v>
      </c>
      <c r="N15" s="164">
        <v>73000000</v>
      </c>
      <c r="P15" s="235" t="s">
        <v>502</v>
      </c>
      <c r="Q15" s="173">
        <f>M5-Q14</f>
        <v>836874750</v>
      </c>
    </row>
    <row r="16" spans="1:19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H16" s="173">
        <f>E13+E17</f>
        <v>124800000</v>
      </c>
      <c r="M16" s="173"/>
      <c r="N16" s="164"/>
      <c r="P16" t="s">
        <v>503</v>
      </c>
      <c r="Q16" s="173">
        <f>Q15*40%</f>
        <v>334749900</v>
      </c>
    </row>
    <row r="17" spans="1:17" x14ac:dyDescent="0.25">
      <c r="A17" s="3"/>
      <c r="B17" s="3"/>
      <c r="C17" s="34"/>
      <c r="D17" s="36" t="s">
        <v>96</v>
      </c>
      <c r="E17" s="37">
        <v>108000000</v>
      </c>
      <c r="F17" s="36" t="s">
        <v>0</v>
      </c>
      <c r="H17" s="173">
        <f>SUM(E15:E16)</f>
        <v>218399760</v>
      </c>
      <c r="I17" s="173">
        <f>H17/108</f>
        <v>2022220</v>
      </c>
      <c r="J17" s="380">
        <f>J19+K19</f>
        <v>6872600</v>
      </c>
      <c r="K17" s="380"/>
      <c r="Q17" s="173">
        <f>Q16-334749900</f>
        <v>0</v>
      </c>
    </row>
    <row r="18" spans="1:17" x14ac:dyDescent="0.25">
      <c r="A18" s="3"/>
      <c r="B18" s="3"/>
      <c r="C18" s="34"/>
      <c r="D18" s="36" t="s">
        <v>97</v>
      </c>
      <c r="E18" s="41">
        <v>5175000</v>
      </c>
      <c r="F18" s="42" t="s">
        <v>6</v>
      </c>
      <c r="H18" s="26"/>
      <c r="I18" s="174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SUM(E20:E32)</f>
        <v>18795600</v>
      </c>
      <c r="F19" s="3" t="s">
        <v>0</v>
      </c>
      <c r="H19" s="182" t="s">
        <v>390</v>
      </c>
      <c r="I19" s="176">
        <v>10628517.130000001</v>
      </c>
      <c r="J19" s="177">
        <v>3128000</v>
      </c>
      <c r="K19" s="177">
        <v>3744600</v>
      </c>
      <c r="L19" s="177">
        <v>6360808.8200000003</v>
      </c>
      <c r="M19" s="197">
        <v>81121369.25</v>
      </c>
      <c r="N19" s="176">
        <v>2697885.86</v>
      </c>
      <c r="O19" s="176">
        <v>0</v>
      </c>
      <c r="P19" s="178">
        <v>0</v>
      </c>
      <c r="Q19" s="175"/>
    </row>
    <row r="20" spans="1:17" x14ac:dyDescent="0.25">
      <c r="A20" s="3"/>
      <c r="B20" s="3"/>
      <c r="C20" s="34"/>
      <c r="D20" s="43"/>
      <c r="E20" s="209" t="s">
        <v>480</v>
      </c>
      <c r="F20" s="210" t="s">
        <v>481</v>
      </c>
      <c r="H20" s="26" t="s">
        <v>399</v>
      </c>
      <c r="I20" s="381">
        <f>SUM(I19:N19)</f>
        <v>107681181.06</v>
      </c>
      <c r="J20" s="382"/>
      <c r="K20" s="382"/>
      <c r="L20" s="382"/>
      <c r="M20" s="382"/>
      <c r="N20" s="382"/>
      <c r="O20" s="382"/>
      <c r="P20" s="383"/>
      <c r="Q20" s="179"/>
    </row>
    <row r="21" spans="1:17" x14ac:dyDescent="0.25">
      <c r="A21" s="3"/>
      <c r="B21" s="3"/>
      <c r="C21" s="34"/>
      <c r="D21" s="43" t="s">
        <v>100</v>
      </c>
      <c r="E21" s="37">
        <f>F21*12</f>
        <v>1794000</v>
      </c>
      <c r="F21" s="37">
        <v>149500</v>
      </c>
      <c r="H21" s="180" t="s">
        <v>400</v>
      </c>
      <c r="I21" s="181">
        <f>I19-E16-E35-96753.61</f>
        <v>10531763.520000001</v>
      </c>
      <c r="J21" s="181">
        <f>J8+J19</f>
        <v>0</v>
      </c>
      <c r="K21" s="181">
        <f>K8+K19</f>
        <v>0</v>
      </c>
      <c r="L21" s="181">
        <f>L19</f>
        <v>6360808.8200000003</v>
      </c>
      <c r="M21" s="181">
        <f>M19</f>
        <v>81121369.25</v>
      </c>
      <c r="N21" s="181">
        <f>N8+N19</f>
        <v>0</v>
      </c>
      <c r="O21" s="181"/>
      <c r="P21" s="20"/>
      <c r="Q21" s="171"/>
    </row>
    <row r="22" spans="1:17" x14ac:dyDescent="0.25">
      <c r="A22" s="3"/>
      <c r="B22" s="3"/>
      <c r="C22" s="34"/>
      <c r="D22" s="43" t="s">
        <v>101</v>
      </c>
      <c r="E22" s="37">
        <f t="shared" ref="E22:E28" si="1">F22*12</f>
        <v>969600</v>
      </c>
      <c r="F22" s="37">
        <v>80800</v>
      </c>
      <c r="H22" s="26" t="s">
        <v>401</v>
      </c>
      <c r="I22" s="181">
        <f>I8+I19</f>
        <v>0</v>
      </c>
      <c r="J22" s="181">
        <f>J8+J19</f>
        <v>0</v>
      </c>
      <c r="K22" s="181">
        <f>K8+K19</f>
        <v>0</v>
      </c>
      <c r="L22" s="181">
        <f>L8+L19</f>
        <v>0</v>
      </c>
      <c r="M22" s="181">
        <f>M8+M19-E450</f>
        <v>0</v>
      </c>
      <c r="N22" s="181">
        <f>N8+N19</f>
        <v>0</v>
      </c>
      <c r="O22" s="181"/>
      <c r="P22" s="20"/>
    </row>
    <row r="23" spans="1:17" x14ac:dyDescent="0.25">
      <c r="A23" s="3"/>
      <c r="B23" s="3"/>
      <c r="C23" s="34"/>
      <c r="D23" s="43" t="s">
        <v>102</v>
      </c>
      <c r="E23" s="37">
        <f t="shared" si="1"/>
        <v>146400</v>
      </c>
      <c r="F23" s="37">
        <v>12200</v>
      </c>
    </row>
    <row r="24" spans="1:17" x14ac:dyDescent="0.25">
      <c r="A24" s="3"/>
      <c r="B24" s="3"/>
      <c r="C24" s="34"/>
      <c r="D24" s="43" t="s">
        <v>103</v>
      </c>
      <c r="E24" s="37">
        <f t="shared" si="1"/>
        <v>116400</v>
      </c>
      <c r="F24" s="37">
        <v>9700</v>
      </c>
      <c r="I24" s="173">
        <f>E7+E8</f>
        <v>71256000</v>
      </c>
      <c r="K24" s="164"/>
    </row>
    <row r="25" spans="1:17" x14ac:dyDescent="0.25">
      <c r="A25" s="3"/>
      <c r="B25" s="3"/>
      <c r="C25" s="34"/>
      <c r="D25" s="43" t="s">
        <v>476</v>
      </c>
      <c r="E25" s="37">
        <f t="shared" si="1"/>
        <v>1255200</v>
      </c>
      <c r="F25" s="37">
        <v>104600</v>
      </c>
      <c r="I25" s="173"/>
      <c r="M25">
        <v>243711000</v>
      </c>
    </row>
    <row r="26" spans="1:17" x14ac:dyDescent="0.25">
      <c r="A26" s="3"/>
      <c r="B26" s="3"/>
      <c r="C26" s="34"/>
      <c r="D26" s="43" t="s">
        <v>477</v>
      </c>
      <c r="E26" s="37">
        <f t="shared" si="1"/>
        <v>679200</v>
      </c>
      <c r="F26" s="37">
        <v>56600</v>
      </c>
      <c r="I26" s="173"/>
      <c r="M26" s="164">
        <f>M25-M22</f>
        <v>243711000</v>
      </c>
    </row>
    <row r="27" spans="1:17" x14ac:dyDescent="0.25">
      <c r="A27" s="3"/>
      <c r="B27" s="3"/>
      <c r="C27" s="34"/>
      <c r="D27" s="43" t="s">
        <v>478</v>
      </c>
      <c r="E27" s="37">
        <f t="shared" si="1"/>
        <v>102000</v>
      </c>
      <c r="F27" s="37">
        <v>8500</v>
      </c>
      <c r="I27" s="173"/>
    </row>
    <row r="28" spans="1:17" x14ac:dyDescent="0.25">
      <c r="A28" s="3"/>
      <c r="B28" s="3"/>
      <c r="C28" s="34"/>
      <c r="D28" s="43" t="s">
        <v>479</v>
      </c>
      <c r="E28" s="37">
        <f t="shared" si="1"/>
        <v>81600</v>
      </c>
      <c r="F28" s="208">
        <v>6800</v>
      </c>
    </row>
    <row r="29" spans="1:17" x14ac:dyDescent="0.25">
      <c r="A29" s="3"/>
      <c r="B29" s="3"/>
      <c r="C29" s="34"/>
      <c r="D29" s="43" t="s">
        <v>105</v>
      </c>
      <c r="E29" s="37">
        <f>F29*9*12</f>
        <v>8089200</v>
      </c>
      <c r="F29" s="208">
        <v>74900</v>
      </c>
      <c r="H29" s="173">
        <f>SUM(F21:F24)</f>
        <v>252200</v>
      </c>
      <c r="I29">
        <f>9*12</f>
        <v>108</v>
      </c>
      <c r="L29" t="s">
        <v>437</v>
      </c>
      <c r="M29" s="194">
        <f>M5*3%</f>
        <v>33474990</v>
      </c>
      <c r="Q29" s="164">
        <f>I20+Q7</f>
        <v>0</v>
      </c>
    </row>
    <row r="30" spans="1:17" x14ac:dyDescent="0.25">
      <c r="A30" s="3"/>
      <c r="B30" s="3"/>
      <c r="C30" s="34"/>
      <c r="D30" s="43" t="s">
        <v>106</v>
      </c>
      <c r="E30" s="37">
        <f t="shared" ref="E30:E32" si="2">F30*9*12</f>
        <v>4374000</v>
      </c>
      <c r="F30" s="208">
        <v>40500</v>
      </c>
      <c r="H30" s="173">
        <f>H29*12</f>
        <v>3026400</v>
      </c>
    </row>
    <row r="31" spans="1:17" x14ac:dyDescent="0.25">
      <c r="A31" s="3"/>
      <c r="B31" s="3"/>
      <c r="C31" s="34"/>
      <c r="D31" s="43" t="s">
        <v>107</v>
      </c>
      <c r="E31" s="37">
        <f t="shared" si="2"/>
        <v>658800</v>
      </c>
      <c r="F31" s="208">
        <v>6100</v>
      </c>
      <c r="I31">
        <f>L5*20%</f>
        <v>7600000</v>
      </c>
      <c r="K31" t="s">
        <v>442</v>
      </c>
      <c r="L31" s="164">
        <f>500000*12</f>
        <v>6000000</v>
      </c>
    </row>
    <row r="32" spans="1:17" x14ac:dyDescent="0.25">
      <c r="A32" s="3"/>
      <c r="B32" s="3"/>
      <c r="C32" s="34"/>
      <c r="D32" s="43" t="s">
        <v>108</v>
      </c>
      <c r="E32" s="37">
        <f t="shared" si="2"/>
        <v>529200</v>
      </c>
      <c r="F32" s="208">
        <v>4900</v>
      </c>
      <c r="I32" s="173">
        <f>E18+E14+E9</f>
        <v>7600000</v>
      </c>
      <c r="K32" t="s">
        <v>443</v>
      </c>
      <c r="L32" s="164">
        <f>300000*9*12</f>
        <v>32400000</v>
      </c>
    </row>
    <row r="33" spans="1:12" x14ac:dyDescent="0.25">
      <c r="A33" s="3">
        <v>1</v>
      </c>
      <c r="B33" s="3">
        <v>1</v>
      </c>
      <c r="C33" s="34" t="s">
        <v>109</v>
      </c>
      <c r="D33" s="4" t="s">
        <v>16</v>
      </c>
      <c r="E33" s="45">
        <f>SUM(E34:E51)</f>
        <v>131437942.98999999</v>
      </c>
      <c r="F33" s="2"/>
      <c r="L33" s="164">
        <f>SUM(L31:L32)</f>
        <v>38400000</v>
      </c>
    </row>
    <row r="34" spans="1:12" x14ac:dyDescent="0.25">
      <c r="A34" s="46"/>
      <c r="B34" s="46"/>
      <c r="C34" s="47"/>
      <c r="D34" s="48" t="s">
        <v>110</v>
      </c>
      <c r="E34" s="205">
        <v>7240057.1299999999</v>
      </c>
      <c r="F34" s="42" t="s">
        <v>0</v>
      </c>
      <c r="G34" t="s">
        <v>6</v>
      </c>
      <c r="H34" s="173">
        <f>E34/12</f>
        <v>603338.09416666662</v>
      </c>
    </row>
    <row r="35" spans="1:12" hidden="1" x14ac:dyDescent="0.25">
      <c r="A35" s="46"/>
      <c r="B35" s="46"/>
      <c r="C35" s="47"/>
      <c r="D35" s="48" t="s">
        <v>110</v>
      </c>
      <c r="E35" s="49">
        <v>0</v>
      </c>
      <c r="F35" s="42" t="s">
        <v>111</v>
      </c>
    </row>
    <row r="36" spans="1:12" x14ac:dyDescent="0.25">
      <c r="A36" s="46"/>
      <c r="B36" s="46"/>
      <c r="C36" s="47"/>
      <c r="D36" s="48" t="s">
        <v>112</v>
      </c>
      <c r="E36" s="49">
        <v>11000000</v>
      </c>
      <c r="F36" s="48" t="s">
        <v>0</v>
      </c>
      <c r="H36" s="173">
        <f>E38+I22</f>
        <v>197885.86</v>
      </c>
      <c r="I36" s="173">
        <f>E34+I22</f>
        <v>7240057.1299999999</v>
      </c>
    </row>
    <row r="37" spans="1:12" x14ac:dyDescent="0.25">
      <c r="A37" s="46"/>
      <c r="B37" s="46"/>
      <c r="C37" s="47"/>
      <c r="D37" s="48" t="s">
        <v>113</v>
      </c>
      <c r="E37" s="49">
        <v>1200000</v>
      </c>
      <c r="F37" s="48" t="s">
        <v>6</v>
      </c>
    </row>
    <row r="38" spans="1:12" x14ac:dyDescent="0.25">
      <c r="A38" s="46"/>
      <c r="B38" s="46"/>
      <c r="C38" s="47"/>
      <c r="D38" s="42" t="s">
        <v>114</v>
      </c>
      <c r="E38" s="234">
        <v>197885.86</v>
      </c>
      <c r="F38" s="52" t="s">
        <v>9</v>
      </c>
      <c r="G38" s="232" t="s">
        <v>0</v>
      </c>
      <c r="H38" s="173">
        <f>E38+112077.13</f>
        <v>309962.99</v>
      </c>
      <c r="I38" s="173">
        <f>E38+N22</f>
        <v>197885.86</v>
      </c>
    </row>
    <row r="39" spans="1:12" hidden="1" x14ac:dyDescent="0.25">
      <c r="A39" s="46"/>
      <c r="B39" s="46"/>
      <c r="C39" s="47"/>
      <c r="D39" s="42" t="s">
        <v>115</v>
      </c>
      <c r="E39" s="50">
        <v>0</v>
      </c>
      <c r="F39" s="42" t="s">
        <v>0</v>
      </c>
    </row>
    <row r="40" spans="1:12" x14ac:dyDescent="0.25">
      <c r="A40" s="46"/>
      <c r="B40" s="46"/>
      <c r="C40" s="47"/>
      <c r="D40" s="42" t="s">
        <v>116</v>
      </c>
      <c r="E40" s="50">
        <v>4000000</v>
      </c>
      <c r="F40" s="42" t="s">
        <v>0</v>
      </c>
      <c r="H40" s="1">
        <f>39138840-27300</f>
        <v>39111540</v>
      </c>
    </row>
    <row r="41" spans="1:12" x14ac:dyDescent="0.25">
      <c r="A41" s="46"/>
      <c r="B41" s="46"/>
      <c r="C41" s="47"/>
      <c r="D41" s="48" t="s">
        <v>410</v>
      </c>
      <c r="E41" s="49">
        <v>4000000</v>
      </c>
      <c r="F41" s="42" t="s">
        <v>9</v>
      </c>
    </row>
    <row r="42" spans="1:12" x14ac:dyDescent="0.25">
      <c r="A42" s="46"/>
      <c r="B42" s="46"/>
      <c r="C42" s="47"/>
      <c r="D42" s="48" t="s">
        <v>410</v>
      </c>
      <c r="E42" s="233">
        <v>3500000</v>
      </c>
      <c r="F42" s="42" t="s">
        <v>433</v>
      </c>
    </row>
    <row r="43" spans="1:12" x14ac:dyDescent="0.25">
      <c r="A43" s="46"/>
      <c r="B43" s="46"/>
      <c r="C43" s="46"/>
      <c r="D43" s="42" t="s">
        <v>117</v>
      </c>
      <c r="E43" s="50">
        <v>1000000</v>
      </c>
      <c r="F43" s="42" t="s">
        <v>6</v>
      </c>
      <c r="H43" s="193" t="s">
        <v>430</v>
      </c>
    </row>
    <row r="44" spans="1:12" x14ac:dyDescent="0.25">
      <c r="A44" s="46"/>
      <c r="B44" s="46"/>
      <c r="C44" s="46"/>
      <c r="D44" s="42" t="s">
        <v>118</v>
      </c>
      <c r="E44" s="50">
        <v>6000000</v>
      </c>
      <c r="F44" s="42" t="s">
        <v>1</v>
      </c>
    </row>
    <row r="45" spans="1:12" x14ac:dyDescent="0.25">
      <c r="A45" s="46"/>
      <c r="B45" s="46"/>
      <c r="C45" s="46"/>
      <c r="D45" s="42" t="s">
        <v>118</v>
      </c>
      <c r="E45" s="50">
        <v>5000000</v>
      </c>
      <c r="F45" s="42" t="s">
        <v>6</v>
      </c>
    </row>
    <row r="46" spans="1:12" x14ac:dyDescent="0.25">
      <c r="A46" s="46"/>
      <c r="B46" s="46"/>
      <c r="C46" s="46"/>
      <c r="D46" s="42" t="s">
        <v>118</v>
      </c>
      <c r="E46" s="50">
        <v>1000000</v>
      </c>
      <c r="F46" s="42" t="s">
        <v>431</v>
      </c>
    </row>
    <row r="47" spans="1:12" x14ac:dyDescent="0.25">
      <c r="A47" s="46"/>
      <c r="B47" s="46"/>
      <c r="C47" s="46"/>
      <c r="D47" s="42" t="s">
        <v>118</v>
      </c>
      <c r="E47" s="50">
        <v>7000000</v>
      </c>
      <c r="F47" s="42" t="s">
        <v>2</v>
      </c>
    </row>
    <row r="48" spans="1:12" x14ac:dyDescent="0.25">
      <c r="A48" s="46"/>
      <c r="B48" s="46"/>
      <c r="C48" s="46"/>
      <c r="D48" s="42" t="s">
        <v>119</v>
      </c>
      <c r="E48" s="50">
        <v>10000000</v>
      </c>
      <c r="F48" s="42" t="s">
        <v>6</v>
      </c>
    </row>
    <row r="49" spans="1:9" x14ac:dyDescent="0.25">
      <c r="A49" s="46"/>
      <c r="B49" s="46"/>
      <c r="C49" s="46"/>
      <c r="D49" s="42" t="s">
        <v>120</v>
      </c>
      <c r="E49" s="50">
        <v>51000000</v>
      </c>
      <c r="F49" s="42" t="s">
        <v>1</v>
      </c>
      <c r="H49" s="173">
        <f>SUM(E49:E50)</f>
        <v>61200000</v>
      </c>
      <c r="I49" s="164">
        <f>800000*12</f>
        <v>9600000</v>
      </c>
    </row>
    <row r="50" spans="1:9" x14ac:dyDescent="0.25">
      <c r="A50" s="46"/>
      <c r="B50" s="46"/>
      <c r="C50" s="46"/>
      <c r="D50" s="42" t="s">
        <v>120</v>
      </c>
      <c r="E50" s="50">
        <v>10200000</v>
      </c>
      <c r="F50" s="42" t="s">
        <v>0</v>
      </c>
      <c r="I50" s="164">
        <f>700000*12</f>
        <v>8400000</v>
      </c>
    </row>
    <row r="51" spans="1:9" x14ac:dyDescent="0.25">
      <c r="A51" s="46"/>
      <c r="B51" s="46"/>
      <c r="C51" s="46"/>
      <c r="D51" s="42" t="s">
        <v>496</v>
      </c>
      <c r="E51" s="51">
        <v>9100000</v>
      </c>
      <c r="F51" s="42" t="s">
        <v>0</v>
      </c>
      <c r="H51" s="193">
        <f>700000*13</f>
        <v>9100000</v>
      </c>
      <c r="I51" s="164">
        <f>600000*6*12</f>
        <v>43200000</v>
      </c>
    </row>
    <row r="52" spans="1:9" x14ac:dyDescent="0.25">
      <c r="A52" s="5">
        <v>1</v>
      </c>
      <c r="B52" s="5">
        <v>1</v>
      </c>
      <c r="C52" s="53" t="s">
        <v>122</v>
      </c>
      <c r="D52" s="5" t="s">
        <v>17</v>
      </c>
      <c r="E52" s="54">
        <f>SUM(E53:E54)</f>
        <v>44300000</v>
      </c>
      <c r="F52" s="5" t="s">
        <v>0</v>
      </c>
      <c r="H52" s="193">
        <f>13*675000</f>
        <v>8775000</v>
      </c>
      <c r="I52" s="194">
        <f>SUM(I49:I51)</f>
        <v>61200000</v>
      </c>
    </row>
    <row r="53" spans="1:9" x14ac:dyDescent="0.25">
      <c r="A53" s="5"/>
      <c r="B53" s="5"/>
      <c r="C53" s="53"/>
      <c r="D53" s="55" t="s">
        <v>123</v>
      </c>
      <c r="E53" s="50">
        <v>40500000</v>
      </c>
      <c r="F53" s="42" t="s">
        <v>0</v>
      </c>
      <c r="I53" s="164">
        <f>I52/12</f>
        <v>5100000</v>
      </c>
    </row>
    <row r="54" spans="1:9" x14ac:dyDescent="0.25">
      <c r="A54" s="5"/>
      <c r="B54" s="5"/>
      <c r="C54" s="53"/>
      <c r="D54" s="55" t="s">
        <v>124</v>
      </c>
      <c r="E54" s="50">
        <v>3800000</v>
      </c>
      <c r="F54" s="42" t="s">
        <v>6</v>
      </c>
      <c r="I54" s="164">
        <f>I53*2</f>
        <v>10200000</v>
      </c>
    </row>
    <row r="55" spans="1:9" x14ac:dyDescent="0.25">
      <c r="A55" s="5">
        <v>1</v>
      </c>
      <c r="B55" s="5">
        <v>1</v>
      </c>
      <c r="C55" s="53" t="s">
        <v>125</v>
      </c>
      <c r="D55" s="5" t="s">
        <v>18</v>
      </c>
      <c r="E55" s="54">
        <f>SUM(E56:E61)</f>
        <v>10500000</v>
      </c>
      <c r="F55" s="5" t="s">
        <v>498</v>
      </c>
      <c r="I55" s="164">
        <f>I53*10</f>
        <v>51000000</v>
      </c>
    </row>
    <row r="56" spans="1:9" x14ac:dyDescent="0.25">
      <c r="A56" s="46"/>
      <c r="B56" s="46"/>
      <c r="C56" s="46"/>
      <c r="D56" s="42" t="s">
        <v>126</v>
      </c>
      <c r="E56" s="50">
        <v>500000</v>
      </c>
      <c r="F56" s="42" t="s">
        <v>6</v>
      </c>
      <c r="I56" s="164"/>
    </row>
    <row r="57" spans="1:9" x14ac:dyDescent="0.25">
      <c r="A57" s="46"/>
      <c r="B57" s="46"/>
      <c r="C57" s="46"/>
      <c r="D57" s="42" t="s">
        <v>497</v>
      </c>
      <c r="E57" s="51">
        <v>3500000</v>
      </c>
      <c r="F57" s="42"/>
      <c r="H57">
        <f>675000*5</f>
        <v>3375000</v>
      </c>
    </row>
    <row r="58" spans="1:9" x14ac:dyDescent="0.25">
      <c r="A58" s="46"/>
      <c r="B58" s="46"/>
      <c r="C58" s="46"/>
      <c r="D58" s="42" t="s">
        <v>127</v>
      </c>
      <c r="E58" s="51">
        <v>1500000</v>
      </c>
      <c r="F58" s="42" t="s">
        <v>6</v>
      </c>
      <c r="H58">
        <f>700000*5</f>
        <v>3500000</v>
      </c>
    </row>
    <row r="59" spans="1:9" x14ac:dyDescent="0.25">
      <c r="A59" s="46"/>
      <c r="B59" s="46"/>
      <c r="C59" s="46"/>
      <c r="D59" s="42" t="s">
        <v>128</v>
      </c>
      <c r="E59" s="50">
        <v>2500000</v>
      </c>
      <c r="F59" s="42" t="s">
        <v>6</v>
      </c>
    </row>
    <row r="60" spans="1:9" x14ac:dyDescent="0.25">
      <c r="A60" s="46"/>
      <c r="B60" s="46"/>
      <c r="C60" s="46"/>
      <c r="D60" s="42" t="s">
        <v>129</v>
      </c>
      <c r="E60" s="50">
        <v>1000000</v>
      </c>
      <c r="F60" s="42" t="s">
        <v>6</v>
      </c>
    </row>
    <row r="61" spans="1:9" x14ac:dyDescent="0.25">
      <c r="A61" s="46"/>
      <c r="B61" s="46"/>
      <c r="C61" s="46"/>
      <c r="D61" s="42" t="s">
        <v>129</v>
      </c>
      <c r="E61" s="51">
        <v>1500000</v>
      </c>
      <c r="F61" s="52" t="s">
        <v>0</v>
      </c>
    </row>
    <row r="62" spans="1:9" x14ac:dyDescent="0.25">
      <c r="A62" s="5">
        <v>1</v>
      </c>
      <c r="B62" s="5">
        <v>1</v>
      </c>
      <c r="C62" s="53" t="s">
        <v>160</v>
      </c>
      <c r="D62" s="195" t="s">
        <v>438</v>
      </c>
      <c r="E62" s="196">
        <f>E63+E66+E69</f>
        <v>32000000</v>
      </c>
      <c r="F62" s="5" t="s">
        <v>3</v>
      </c>
      <c r="H62" s="194">
        <f>M5*3%</f>
        <v>33474990</v>
      </c>
    </row>
    <row r="63" spans="1:9" x14ac:dyDescent="0.25">
      <c r="A63" s="46"/>
      <c r="B63" s="46"/>
      <c r="C63" s="55" t="s">
        <v>85</v>
      </c>
      <c r="D63" s="63" t="s">
        <v>439</v>
      </c>
      <c r="E63" s="64">
        <f>E64+E65</f>
        <v>5000000</v>
      </c>
      <c r="F63" s="42"/>
      <c r="H63" s="173">
        <f>E62/M5*100</f>
        <v>2.8678126565534448</v>
      </c>
    </row>
    <row r="64" spans="1:9" x14ac:dyDescent="0.25">
      <c r="A64" s="46"/>
      <c r="B64" s="46"/>
      <c r="C64" s="55"/>
      <c r="D64" s="55" t="s">
        <v>468</v>
      </c>
      <c r="E64" s="50">
        <v>3000000</v>
      </c>
      <c r="F64" s="42"/>
    </row>
    <row r="65" spans="1:6" x14ac:dyDescent="0.25">
      <c r="A65" s="46"/>
      <c r="B65" s="46"/>
      <c r="C65" s="55"/>
      <c r="D65" s="55" t="s">
        <v>469</v>
      </c>
      <c r="E65" s="50">
        <v>2000000</v>
      </c>
      <c r="F65" s="42"/>
    </row>
    <row r="66" spans="1:6" s="188" customFormat="1" ht="30" x14ac:dyDescent="0.25">
      <c r="A66" s="97"/>
      <c r="B66" s="97"/>
      <c r="C66" s="38" t="s">
        <v>89</v>
      </c>
      <c r="D66" s="99" t="s">
        <v>440</v>
      </c>
      <c r="E66" s="100">
        <f>E67+E68</f>
        <v>7000000</v>
      </c>
      <c r="F66" s="36"/>
    </row>
    <row r="67" spans="1:6" s="188" customFormat="1" x14ac:dyDescent="0.25">
      <c r="A67" s="97"/>
      <c r="B67" s="97"/>
      <c r="C67" s="38"/>
      <c r="D67" s="101" t="s">
        <v>470</v>
      </c>
      <c r="E67" s="37">
        <v>2000000</v>
      </c>
      <c r="F67" s="36"/>
    </row>
    <row r="68" spans="1:6" s="188" customFormat="1" x14ac:dyDescent="0.25">
      <c r="A68" s="97"/>
      <c r="B68" s="97"/>
      <c r="C68" s="38"/>
      <c r="D68" s="101" t="s">
        <v>471</v>
      </c>
      <c r="E68" s="40">
        <v>5000000</v>
      </c>
      <c r="F68" s="36"/>
    </row>
    <row r="69" spans="1:6" x14ac:dyDescent="0.25">
      <c r="A69" s="46"/>
      <c r="B69" s="46"/>
      <c r="C69" s="55" t="s">
        <v>98</v>
      </c>
      <c r="D69" s="63" t="s">
        <v>441</v>
      </c>
      <c r="E69" s="64">
        <f>E70+E71+E72</f>
        <v>20000000</v>
      </c>
      <c r="F69" s="42"/>
    </row>
    <row r="70" spans="1:6" x14ac:dyDescent="0.25">
      <c r="A70" s="46"/>
      <c r="B70" s="46"/>
      <c r="C70" s="55"/>
      <c r="D70" s="55" t="s">
        <v>472</v>
      </c>
      <c r="E70" s="51">
        <v>5000000</v>
      </c>
      <c r="F70" s="42"/>
    </row>
    <row r="71" spans="1:6" x14ac:dyDescent="0.25">
      <c r="A71" s="46"/>
      <c r="B71" s="46"/>
      <c r="C71" s="55"/>
      <c r="D71" s="55" t="s">
        <v>473</v>
      </c>
      <c r="E71" s="51">
        <v>15000000</v>
      </c>
      <c r="F71" s="42"/>
    </row>
    <row r="72" spans="1:6" x14ac:dyDescent="0.25">
      <c r="A72" s="46"/>
      <c r="B72" s="46"/>
      <c r="C72" s="55"/>
      <c r="D72" s="55" t="s">
        <v>474</v>
      </c>
      <c r="E72" s="51">
        <v>0</v>
      </c>
      <c r="F72" s="42"/>
    </row>
    <row r="73" spans="1:6" x14ac:dyDescent="0.25">
      <c r="A73" s="5">
        <v>1</v>
      </c>
      <c r="B73" s="5">
        <v>1</v>
      </c>
      <c r="C73" s="53" t="s">
        <v>130</v>
      </c>
      <c r="D73" s="5" t="s">
        <v>19</v>
      </c>
      <c r="E73" s="54">
        <f>E74</f>
        <v>18000000</v>
      </c>
      <c r="F73" s="5" t="s">
        <v>131</v>
      </c>
    </row>
    <row r="74" spans="1:6" x14ac:dyDescent="0.25">
      <c r="A74" s="46"/>
      <c r="B74" s="46"/>
      <c r="C74" s="46"/>
      <c r="D74" s="42" t="s">
        <v>19</v>
      </c>
      <c r="E74" s="50">
        <v>18000000</v>
      </c>
      <c r="F74" s="42" t="s">
        <v>131</v>
      </c>
    </row>
    <row r="75" spans="1:6" x14ac:dyDescent="0.25">
      <c r="A75" s="5">
        <v>1</v>
      </c>
      <c r="B75" s="5">
        <v>1</v>
      </c>
      <c r="C75" s="53" t="s">
        <v>444</v>
      </c>
      <c r="D75" s="5" t="s">
        <v>445</v>
      </c>
      <c r="E75" s="54">
        <f>SUM(E76:E77)</f>
        <v>38400000</v>
      </c>
      <c r="F75" s="5" t="s">
        <v>131</v>
      </c>
    </row>
    <row r="76" spans="1:6" x14ac:dyDescent="0.25">
      <c r="A76" s="5"/>
      <c r="B76" s="5"/>
      <c r="C76" s="53"/>
      <c r="D76" s="42" t="s">
        <v>446</v>
      </c>
      <c r="E76" s="50">
        <v>6000000</v>
      </c>
      <c r="F76" s="42"/>
    </row>
    <row r="77" spans="1:6" x14ac:dyDescent="0.25">
      <c r="A77" s="46"/>
      <c r="B77" s="46"/>
      <c r="C77" s="46"/>
      <c r="D77" s="42" t="s">
        <v>447</v>
      </c>
      <c r="E77" s="50">
        <v>32400000</v>
      </c>
      <c r="F77" s="42"/>
    </row>
    <row r="78" spans="1:6" x14ac:dyDescent="0.25">
      <c r="A78" s="8">
        <v>1</v>
      </c>
      <c r="B78" s="8">
        <v>2</v>
      </c>
      <c r="C78" s="56"/>
      <c r="D78" s="8" t="s">
        <v>25</v>
      </c>
      <c r="E78" s="57">
        <f>E79+E84+E94</f>
        <v>316800608.81999999</v>
      </c>
      <c r="F78" s="58"/>
    </row>
    <row r="79" spans="1:6" x14ac:dyDescent="0.25">
      <c r="A79" s="5">
        <v>1</v>
      </c>
      <c r="B79" s="5">
        <v>2</v>
      </c>
      <c r="C79" s="53" t="s">
        <v>85</v>
      </c>
      <c r="D79" s="5" t="s">
        <v>22</v>
      </c>
      <c r="E79" s="54">
        <f>SUM(E80:E83)</f>
        <v>43811800</v>
      </c>
      <c r="F79" s="5" t="s">
        <v>1</v>
      </c>
    </row>
    <row r="80" spans="1:6" x14ac:dyDescent="0.25">
      <c r="A80" s="46"/>
      <c r="B80" s="46"/>
      <c r="C80" s="47"/>
      <c r="D80" s="42" t="s">
        <v>428</v>
      </c>
      <c r="E80" s="50">
        <v>14173600</v>
      </c>
      <c r="F80" s="42" t="s">
        <v>1</v>
      </c>
    </row>
    <row r="81" spans="1:8" x14ac:dyDescent="0.25">
      <c r="A81" s="46"/>
      <c r="B81" s="46"/>
      <c r="C81" s="47"/>
      <c r="D81" s="42" t="s">
        <v>423</v>
      </c>
      <c r="E81" s="50">
        <v>4000000</v>
      </c>
      <c r="F81" s="42" t="s">
        <v>1</v>
      </c>
      <c r="G81" s="204" t="s">
        <v>111</v>
      </c>
    </row>
    <row r="82" spans="1:8" x14ac:dyDescent="0.25">
      <c r="A82" s="46"/>
      <c r="B82" s="46"/>
      <c r="C82" s="47"/>
      <c r="D82" s="42" t="s">
        <v>459</v>
      </c>
      <c r="E82" s="50">
        <v>11000000</v>
      </c>
      <c r="F82" s="42" t="s">
        <v>1</v>
      </c>
      <c r="G82" s="204"/>
    </row>
    <row r="83" spans="1:8" x14ac:dyDescent="0.25">
      <c r="A83" s="46"/>
      <c r="B83" s="46"/>
      <c r="C83" s="47"/>
      <c r="D83" s="42" t="s">
        <v>460</v>
      </c>
      <c r="E83" s="50">
        <v>14638200</v>
      </c>
      <c r="F83" s="42" t="s">
        <v>1</v>
      </c>
      <c r="G83" s="204" t="s">
        <v>0</v>
      </c>
    </row>
    <row r="84" spans="1:8" x14ac:dyDescent="0.25">
      <c r="A84" s="3">
        <v>1</v>
      </c>
      <c r="B84" s="3">
        <v>2</v>
      </c>
      <c r="C84" s="34" t="s">
        <v>89</v>
      </c>
      <c r="D84" s="3" t="s">
        <v>23</v>
      </c>
      <c r="E84" s="35">
        <f>E85+E89+E90+E91</f>
        <v>18860808.82</v>
      </c>
      <c r="F84" s="59" t="s">
        <v>500</v>
      </c>
    </row>
    <row r="85" spans="1:8" x14ac:dyDescent="0.25">
      <c r="A85" s="5"/>
      <c r="B85" s="5"/>
      <c r="C85" s="53"/>
      <c r="D85" s="60" t="s">
        <v>134</v>
      </c>
      <c r="E85" s="61">
        <f>SUM(E86:E88)</f>
        <v>6135808.8200000003</v>
      </c>
      <c r="F85" s="60" t="s">
        <v>135</v>
      </c>
    </row>
    <row r="86" spans="1:8" x14ac:dyDescent="0.25">
      <c r="A86" s="5"/>
      <c r="B86" s="5"/>
      <c r="C86" s="53"/>
      <c r="D86" s="62" t="s">
        <v>136</v>
      </c>
      <c r="E86" s="49">
        <v>5000000</v>
      </c>
      <c r="F86" s="48" t="s">
        <v>1</v>
      </c>
    </row>
    <row r="87" spans="1:8" hidden="1" x14ac:dyDescent="0.25">
      <c r="A87" s="5"/>
      <c r="B87" s="5"/>
      <c r="C87" s="53"/>
      <c r="D87" s="62" t="s">
        <v>136</v>
      </c>
      <c r="E87" s="49">
        <v>0</v>
      </c>
      <c r="F87" s="48" t="s">
        <v>0</v>
      </c>
    </row>
    <row r="88" spans="1:8" x14ac:dyDescent="0.25">
      <c r="A88" s="5"/>
      <c r="B88" s="5"/>
      <c r="C88" s="53"/>
      <c r="D88" s="62" t="s">
        <v>137</v>
      </c>
      <c r="E88" s="205">
        <v>1135808.82</v>
      </c>
      <c r="F88" s="48" t="s">
        <v>6</v>
      </c>
      <c r="H88" s="173"/>
    </row>
    <row r="89" spans="1:8" x14ac:dyDescent="0.25">
      <c r="A89" s="5"/>
      <c r="B89" s="5"/>
      <c r="C89" s="53"/>
      <c r="D89" s="63" t="s">
        <v>138</v>
      </c>
      <c r="E89" s="229">
        <v>500000</v>
      </c>
      <c r="F89" s="230" t="s">
        <v>0</v>
      </c>
      <c r="G89" s="231" t="s">
        <v>2</v>
      </c>
    </row>
    <row r="90" spans="1:8" x14ac:dyDescent="0.25">
      <c r="A90" s="5"/>
      <c r="B90" s="5"/>
      <c r="C90" s="53"/>
      <c r="D90" s="63" t="s">
        <v>139</v>
      </c>
      <c r="E90" s="64">
        <v>9600000</v>
      </c>
      <c r="F90" s="63" t="s">
        <v>0</v>
      </c>
    </row>
    <row r="91" spans="1:8" x14ac:dyDescent="0.25">
      <c r="A91" s="5"/>
      <c r="B91" s="5"/>
      <c r="C91" s="53"/>
      <c r="D91" s="63" t="s">
        <v>140</v>
      </c>
      <c r="E91" s="64">
        <f>E92+E93</f>
        <v>2625000</v>
      </c>
      <c r="F91" s="63" t="s">
        <v>6</v>
      </c>
    </row>
    <row r="92" spans="1:8" x14ac:dyDescent="0.25">
      <c r="A92" s="5"/>
      <c r="B92" s="5"/>
      <c r="C92" s="53"/>
      <c r="D92" s="65" t="s">
        <v>141</v>
      </c>
      <c r="E92" s="66">
        <v>1500000</v>
      </c>
      <c r="F92" s="67"/>
    </row>
    <row r="93" spans="1:8" x14ac:dyDescent="0.25">
      <c r="A93" s="5"/>
      <c r="B93" s="5"/>
      <c r="C93" s="53"/>
      <c r="D93" s="65" t="s">
        <v>142</v>
      </c>
      <c r="E93" s="66">
        <v>1125000</v>
      </c>
      <c r="F93" s="67"/>
    </row>
    <row r="94" spans="1:8" ht="30" x14ac:dyDescent="0.25">
      <c r="A94" s="3">
        <v>1</v>
      </c>
      <c r="B94" s="3">
        <v>2</v>
      </c>
      <c r="C94" s="34" t="s">
        <v>98</v>
      </c>
      <c r="D94" s="2" t="s">
        <v>24</v>
      </c>
      <c r="E94" s="35">
        <f>SUM(E95:E97)</f>
        <v>254128000</v>
      </c>
      <c r="F94" s="3" t="s">
        <v>4</v>
      </c>
    </row>
    <row r="95" spans="1:8" hidden="1" x14ac:dyDescent="0.25">
      <c r="A95" s="3"/>
      <c r="B95" s="3"/>
      <c r="C95" s="34"/>
      <c r="D95" s="65" t="s">
        <v>143</v>
      </c>
      <c r="E95" s="37">
        <v>0</v>
      </c>
      <c r="F95" s="36" t="s">
        <v>6</v>
      </c>
    </row>
    <row r="96" spans="1:8" x14ac:dyDescent="0.25">
      <c r="A96" s="5"/>
      <c r="B96" s="5"/>
      <c r="C96" s="53"/>
      <c r="D96" s="65" t="s">
        <v>143</v>
      </c>
      <c r="E96" s="228">
        <v>250000000</v>
      </c>
      <c r="F96" s="67" t="s">
        <v>4</v>
      </c>
    </row>
    <row r="97" spans="1:8" x14ac:dyDescent="0.25">
      <c r="A97" s="5"/>
      <c r="B97" s="5"/>
      <c r="C97" s="53"/>
      <c r="D97" s="65" t="s">
        <v>462</v>
      </c>
      <c r="E97" s="228">
        <v>4128000</v>
      </c>
      <c r="F97" s="67" t="s">
        <v>1</v>
      </c>
      <c r="H97">
        <f>5000000-872000</f>
        <v>4128000</v>
      </c>
    </row>
    <row r="98" spans="1:8" ht="30" x14ac:dyDescent="0.25">
      <c r="A98" s="68">
        <v>1</v>
      </c>
      <c r="B98" s="68">
        <v>3</v>
      </c>
      <c r="C98" s="68"/>
      <c r="D98" s="9" t="s">
        <v>26</v>
      </c>
      <c r="E98" s="33">
        <f>E99+E103+E108+E111</f>
        <v>20700000</v>
      </c>
      <c r="F98" s="69"/>
    </row>
    <row r="99" spans="1:8" x14ac:dyDescent="0.25">
      <c r="A99" s="5">
        <v>1</v>
      </c>
      <c r="B99" s="5">
        <v>3</v>
      </c>
      <c r="C99" s="53" t="s">
        <v>85</v>
      </c>
      <c r="D99" s="70" t="s">
        <v>27</v>
      </c>
      <c r="E99" s="54">
        <f>SUM(E100:E102)</f>
        <v>2000000</v>
      </c>
      <c r="F99" s="12" t="s">
        <v>427</v>
      </c>
    </row>
    <row r="100" spans="1:8" x14ac:dyDescent="0.25">
      <c r="A100" s="46"/>
      <c r="B100" s="46"/>
      <c r="C100" s="46"/>
      <c r="D100" s="71" t="s">
        <v>144</v>
      </c>
      <c r="E100" s="50">
        <v>1000000</v>
      </c>
      <c r="F100" s="71" t="s">
        <v>426</v>
      </c>
    </row>
    <row r="101" spans="1:8" x14ac:dyDescent="0.25">
      <c r="A101" s="46"/>
      <c r="B101" s="46"/>
      <c r="C101" s="46"/>
      <c r="D101" s="71" t="s">
        <v>145</v>
      </c>
      <c r="E101" s="50">
        <v>500000</v>
      </c>
      <c r="F101" s="71" t="s">
        <v>1</v>
      </c>
    </row>
    <row r="102" spans="1:8" x14ac:dyDescent="0.25">
      <c r="A102" s="46"/>
      <c r="B102" s="46"/>
      <c r="C102" s="46"/>
      <c r="D102" s="71" t="s">
        <v>425</v>
      </c>
      <c r="E102" s="50">
        <v>500000</v>
      </c>
      <c r="F102" s="71" t="s">
        <v>1</v>
      </c>
    </row>
    <row r="103" spans="1:8" x14ac:dyDescent="0.25">
      <c r="A103" s="5">
        <v>1</v>
      </c>
      <c r="B103" s="5">
        <v>3</v>
      </c>
      <c r="C103" s="53" t="s">
        <v>89</v>
      </c>
      <c r="D103" s="5" t="s">
        <v>28</v>
      </c>
      <c r="E103" s="54">
        <f>SUM(E104:E107)</f>
        <v>12000000</v>
      </c>
      <c r="F103" s="5" t="s">
        <v>3</v>
      </c>
    </row>
    <row r="104" spans="1:8" hidden="1" x14ac:dyDescent="0.25">
      <c r="A104" s="46"/>
      <c r="B104" s="46"/>
      <c r="C104" s="46"/>
      <c r="D104" s="42" t="s">
        <v>146</v>
      </c>
      <c r="E104" s="50">
        <v>0</v>
      </c>
      <c r="F104" s="42" t="s">
        <v>6</v>
      </c>
    </row>
    <row r="105" spans="1:8" x14ac:dyDescent="0.25">
      <c r="A105" s="46"/>
      <c r="B105" s="46"/>
      <c r="C105" s="46"/>
      <c r="D105" s="42" t="s">
        <v>128</v>
      </c>
      <c r="E105" s="50">
        <v>0</v>
      </c>
      <c r="F105" s="73"/>
    </row>
    <row r="106" spans="1:8" x14ac:dyDescent="0.25">
      <c r="A106" s="46"/>
      <c r="B106" s="46"/>
      <c r="C106" s="46"/>
      <c r="D106" s="42" t="s">
        <v>145</v>
      </c>
      <c r="E106" s="50">
        <v>0</v>
      </c>
      <c r="F106" s="48" t="s">
        <v>6</v>
      </c>
    </row>
    <row r="107" spans="1:8" x14ac:dyDescent="0.25">
      <c r="A107" s="46"/>
      <c r="B107" s="46"/>
      <c r="C107" s="46"/>
      <c r="D107" s="42" t="s">
        <v>147</v>
      </c>
      <c r="E107" s="51">
        <v>12000000</v>
      </c>
      <c r="F107" s="48" t="s">
        <v>3</v>
      </c>
      <c r="G107" s="186"/>
    </row>
    <row r="108" spans="1:8" x14ac:dyDescent="0.25">
      <c r="A108" s="3">
        <v>1</v>
      </c>
      <c r="B108" s="3">
        <v>3</v>
      </c>
      <c r="C108" s="34" t="s">
        <v>98</v>
      </c>
      <c r="D108" s="2" t="s">
        <v>29</v>
      </c>
      <c r="E108" s="35">
        <f>SUM(E109:E110)</f>
        <v>2700000</v>
      </c>
      <c r="F108" s="3" t="s">
        <v>434</v>
      </c>
    </row>
    <row r="109" spans="1:8" x14ac:dyDescent="0.25">
      <c r="A109" s="46"/>
      <c r="B109" s="46"/>
      <c r="C109" s="46"/>
      <c r="D109" s="42" t="s">
        <v>144</v>
      </c>
      <c r="E109" s="51">
        <v>1200000</v>
      </c>
      <c r="F109" s="48" t="s">
        <v>2</v>
      </c>
    </row>
    <row r="110" spans="1:8" x14ac:dyDescent="0.25">
      <c r="A110" s="46"/>
      <c r="B110" s="46"/>
      <c r="C110" s="46"/>
      <c r="D110" s="42" t="s">
        <v>144</v>
      </c>
      <c r="E110" s="50">
        <v>1500000</v>
      </c>
      <c r="F110" s="48" t="s">
        <v>426</v>
      </c>
    </row>
    <row r="111" spans="1:8" x14ac:dyDescent="0.25">
      <c r="A111" s="3">
        <v>1</v>
      </c>
      <c r="B111" s="3">
        <v>3</v>
      </c>
      <c r="C111" s="34" t="s">
        <v>122</v>
      </c>
      <c r="D111" s="2" t="s">
        <v>30</v>
      </c>
      <c r="E111" s="35">
        <f>SUM(E112:E113)</f>
        <v>4000000</v>
      </c>
      <c r="F111" s="3" t="s">
        <v>1</v>
      </c>
    </row>
    <row r="112" spans="1:8" x14ac:dyDescent="0.25">
      <c r="A112" s="46"/>
      <c r="B112" s="46"/>
      <c r="C112" s="46"/>
      <c r="D112" s="42" t="s">
        <v>148</v>
      </c>
      <c r="E112" s="50">
        <v>4000000</v>
      </c>
      <c r="F112" s="74"/>
    </row>
    <row r="113" spans="1:6" hidden="1" x14ac:dyDescent="0.25">
      <c r="A113" s="46"/>
      <c r="B113" s="46"/>
      <c r="C113" s="46"/>
      <c r="D113" s="42"/>
      <c r="E113" s="50"/>
      <c r="F113" s="74"/>
    </row>
    <row r="114" spans="1:6" ht="15" hidden="1" customHeight="1" x14ac:dyDescent="0.25">
      <c r="A114" s="46"/>
      <c r="B114" s="46"/>
      <c r="C114" s="46"/>
      <c r="D114" s="42" t="s">
        <v>145</v>
      </c>
      <c r="E114" s="50">
        <v>0</v>
      </c>
      <c r="F114" s="42"/>
    </row>
    <row r="115" spans="1:6" ht="15" hidden="1" customHeight="1" x14ac:dyDescent="0.25">
      <c r="A115" s="46"/>
      <c r="B115" s="46"/>
      <c r="C115" s="46"/>
      <c r="D115" s="42" t="s">
        <v>128</v>
      </c>
      <c r="E115" s="50">
        <v>0</v>
      </c>
      <c r="F115" s="42"/>
    </row>
    <row r="116" spans="1:6" ht="15" hidden="1" customHeight="1" x14ac:dyDescent="0.25">
      <c r="A116" s="46"/>
      <c r="B116" s="46"/>
      <c r="C116" s="46"/>
      <c r="D116" s="42" t="s">
        <v>129</v>
      </c>
      <c r="E116" s="50">
        <v>0</v>
      </c>
      <c r="F116" s="63"/>
    </row>
    <row r="117" spans="1:6" ht="15" hidden="1" customHeight="1" x14ac:dyDescent="0.25">
      <c r="A117" s="46"/>
      <c r="B117" s="46"/>
      <c r="C117" s="46"/>
      <c r="D117" s="46" t="s">
        <v>150</v>
      </c>
      <c r="E117" s="75">
        <v>0</v>
      </c>
      <c r="F117" s="5"/>
    </row>
    <row r="118" spans="1:6" ht="30" x14ac:dyDescent="0.25">
      <c r="A118" s="68">
        <v>1</v>
      </c>
      <c r="B118" s="68">
        <v>4</v>
      </c>
      <c r="C118" s="68"/>
      <c r="D118" s="9" t="s">
        <v>31</v>
      </c>
      <c r="E118" s="33">
        <f>E119+E122+E125+E132+E138+E141</f>
        <v>47200000</v>
      </c>
      <c r="F118" s="68"/>
    </row>
    <row r="119" spans="1:6" ht="30" x14ac:dyDescent="0.25">
      <c r="A119" s="3">
        <v>1</v>
      </c>
      <c r="B119" s="3">
        <v>4</v>
      </c>
      <c r="C119" s="34" t="s">
        <v>85</v>
      </c>
      <c r="D119" s="2" t="s">
        <v>32</v>
      </c>
      <c r="E119" s="35">
        <f>SUM(E120:E121)</f>
        <v>3500000</v>
      </c>
      <c r="F119" s="3" t="s">
        <v>424</v>
      </c>
    </row>
    <row r="120" spans="1:6" x14ac:dyDescent="0.25">
      <c r="A120" s="46"/>
      <c r="B120" s="46"/>
      <c r="C120" s="46"/>
      <c r="D120" s="48" t="s">
        <v>128</v>
      </c>
      <c r="E120" s="49">
        <v>3500000</v>
      </c>
      <c r="F120" s="48" t="s">
        <v>424</v>
      </c>
    </row>
    <row r="121" spans="1:6" hidden="1" x14ac:dyDescent="0.25">
      <c r="A121" s="46"/>
      <c r="B121" s="46"/>
      <c r="C121" s="46"/>
      <c r="D121" s="48" t="s">
        <v>151</v>
      </c>
      <c r="E121" s="49">
        <v>0</v>
      </c>
      <c r="F121" s="48" t="s">
        <v>1</v>
      </c>
    </row>
    <row r="122" spans="1:6" x14ac:dyDescent="0.25">
      <c r="A122" s="5">
        <v>1</v>
      </c>
      <c r="B122" s="5">
        <v>4</v>
      </c>
      <c r="C122" s="53" t="s">
        <v>89</v>
      </c>
      <c r="D122" s="5" t="s">
        <v>33</v>
      </c>
      <c r="E122" s="54">
        <f>SUM(E123:E124)</f>
        <v>3000000</v>
      </c>
      <c r="F122" s="5" t="s">
        <v>1</v>
      </c>
    </row>
    <row r="123" spans="1:6" x14ac:dyDescent="0.25">
      <c r="A123" s="5"/>
      <c r="B123" s="5"/>
      <c r="C123" s="53"/>
      <c r="D123" s="48" t="s">
        <v>128</v>
      </c>
      <c r="E123" s="49">
        <v>3000000</v>
      </c>
      <c r="F123" s="48" t="s">
        <v>1</v>
      </c>
    </row>
    <row r="124" spans="1:6" hidden="1" x14ac:dyDescent="0.25">
      <c r="A124" s="5"/>
      <c r="B124" s="5"/>
      <c r="C124" s="53"/>
      <c r="D124" s="48" t="s">
        <v>145</v>
      </c>
      <c r="E124" s="49">
        <v>0</v>
      </c>
      <c r="F124" s="48" t="s">
        <v>1</v>
      </c>
    </row>
    <row r="125" spans="1:6" ht="35.25" customHeight="1" x14ac:dyDescent="0.25">
      <c r="A125" s="3">
        <v>1</v>
      </c>
      <c r="B125" s="3">
        <v>4</v>
      </c>
      <c r="C125" s="34" t="s">
        <v>98</v>
      </c>
      <c r="D125" s="2" t="s">
        <v>34</v>
      </c>
      <c r="E125" s="35">
        <f>SUM(E126:E131)</f>
        <v>8500000</v>
      </c>
      <c r="F125" s="2" t="s">
        <v>1</v>
      </c>
    </row>
    <row r="126" spans="1:6" hidden="1" x14ac:dyDescent="0.25">
      <c r="A126" s="46"/>
      <c r="B126" s="46"/>
      <c r="C126" s="46"/>
      <c r="D126" s="42" t="s">
        <v>152</v>
      </c>
      <c r="E126" s="50">
        <v>0</v>
      </c>
      <c r="F126" s="42" t="s">
        <v>6</v>
      </c>
    </row>
    <row r="127" spans="1:6" x14ac:dyDescent="0.25">
      <c r="A127" s="46"/>
      <c r="B127" s="46"/>
      <c r="C127" s="46"/>
      <c r="D127" s="42" t="s">
        <v>128</v>
      </c>
      <c r="E127" s="50">
        <v>1000000</v>
      </c>
      <c r="F127" s="42" t="s">
        <v>1</v>
      </c>
    </row>
    <row r="128" spans="1:6" x14ac:dyDescent="0.25">
      <c r="A128" s="46"/>
      <c r="B128" s="46"/>
      <c r="C128" s="46"/>
      <c r="D128" s="42" t="s">
        <v>153</v>
      </c>
      <c r="E128" s="49">
        <v>6000000</v>
      </c>
      <c r="F128" s="42" t="s">
        <v>1</v>
      </c>
    </row>
    <row r="129" spans="1:8" x14ac:dyDescent="0.25">
      <c r="A129" s="46"/>
      <c r="B129" s="46"/>
      <c r="C129" s="46"/>
      <c r="D129" s="42" t="s">
        <v>154</v>
      </c>
      <c r="E129" s="49">
        <v>1500000</v>
      </c>
      <c r="F129" s="42" t="s">
        <v>426</v>
      </c>
    </row>
    <row r="130" spans="1:8" hidden="1" x14ac:dyDescent="0.25">
      <c r="A130" s="46"/>
      <c r="B130" s="46"/>
      <c r="C130" s="46"/>
      <c r="D130" s="42" t="s">
        <v>155</v>
      </c>
      <c r="E130" s="49">
        <v>0</v>
      </c>
      <c r="F130" s="42" t="s">
        <v>1</v>
      </c>
    </row>
    <row r="131" spans="1:8" hidden="1" x14ac:dyDescent="0.25">
      <c r="A131" s="46"/>
      <c r="B131" s="46"/>
      <c r="C131" s="46"/>
      <c r="D131" s="42" t="s">
        <v>129</v>
      </c>
      <c r="E131" s="49">
        <v>0</v>
      </c>
      <c r="F131" s="42" t="s">
        <v>9</v>
      </c>
    </row>
    <row r="132" spans="1:8" x14ac:dyDescent="0.25">
      <c r="A132" s="5">
        <v>1</v>
      </c>
      <c r="B132" s="5">
        <v>4</v>
      </c>
      <c r="C132" s="53" t="s">
        <v>109</v>
      </c>
      <c r="D132" s="5" t="s">
        <v>35</v>
      </c>
      <c r="E132" s="54">
        <f>SUM(E133:E137)</f>
        <v>22400000</v>
      </c>
      <c r="F132" s="5" t="s">
        <v>156</v>
      </c>
    </row>
    <row r="133" spans="1:8" x14ac:dyDescent="0.25">
      <c r="A133" s="46"/>
      <c r="B133" s="46"/>
      <c r="C133" s="46"/>
      <c r="D133" s="42" t="s">
        <v>157</v>
      </c>
      <c r="E133" s="50">
        <v>20400000</v>
      </c>
      <c r="F133" s="42" t="s">
        <v>0</v>
      </c>
    </row>
    <row r="134" spans="1:8" hidden="1" x14ac:dyDescent="0.25">
      <c r="A134" s="46"/>
      <c r="B134" s="46"/>
      <c r="C134" s="46"/>
      <c r="D134" s="52" t="s">
        <v>158</v>
      </c>
      <c r="E134" s="50">
        <v>0</v>
      </c>
      <c r="F134" s="42" t="s">
        <v>6</v>
      </c>
    </row>
    <row r="135" spans="1:8" hidden="1" x14ac:dyDescent="0.25">
      <c r="A135" s="46"/>
      <c r="B135" s="46"/>
      <c r="C135" s="46"/>
      <c r="D135" s="42" t="s">
        <v>158</v>
      </c>
      <c r="E135" s="50">
        <v>0</v>
      </c>
      <c r="F135" s="42" t="s">
        <v>1</v>
      </c>
    </row>
    <row r="136" spans="1:8" x14ac:dyDescent="0.25">
      <c r="A136" s="46"/>
      <c r="B136" s="46"/>
      <c r="C136" s="46"/>
      <c r="D136" s="42" t="s">
        <v>128</v>
      </c>
      <c r="E136" s="50">
        <v>2000000</v>
      </c>
      <c r="F136" s="42" t="s">
        <v>2</v>
      </c>
    </row>
    <row r="137" spans="1:8" hidden="1" x14ac:dyDescent="0.25">
      <c r="A137" s="46"/>
      <c r="B137" s="46"/>
      <c r="C137" s="46"/>
      <c r="D137" s="42" t="s">
        <v>149</v>
      </c>
      <c r="E137" s="50">
        <v>0</v>
      </c>
      <c r="F137" s="42" t="s">
        <v>1</v>
      </c>
    </row>
    <row r="138" spans="1:8" ht="30" x14ac:dyDescent="0.25">
      <c r="A138" s="3">
        <v>1</v>
      </c>
      <c r="B138" s="3">
        <v>4</v>
      </c>
      <c r="C138" s="34" t="s">
        <v>159</v>
      </c>
      <c r="D138" s="2" t="s">
        <v>36</v>
      </c>
      <c r="E138" s="35">
        <f>SUM(E139:E140)</f>
        <v>2000000</v>
      </c>
      <c r="F138" s="3" t="s">
        <v>1</v>
      </c>
    </row>
    <row r="139" spans="1:8" x14ac:dyDescent="0.25">
      <c r="A139" s="46"/>
      <c r="B139" s="46"/>
      <c r="C139" s="46"/>
      <c r="D139" s="42" t="s">
        <v>128</v>
      </c>
      <c r="E139" s="50">
        <v>1000000</v>
      </c>
      <c r="F139" s="76"/>
    </row>
    <row r="140" spans="1:8" x14ac:dyDescent="0.25">
      <c r="A140" s="46"/>
      <c r="B140" s="46"/>
      <c r="C140" s="46"/>
      <c r="D140" s="42" t="s">
        <v>152</v>
      </c>
      <c r="E140" s="50">
        <v>1000000</v>
      </c>
      <c r="F140" s="76"/>
    </row>
    <row r="141" spans="1:8" x14ac:dyDescent="0.25">
      <c r="A141" s="5">
        <v>1</v>
      </c>
      <c r="B141" s="5">
        <v>4</v>
      </c>
      <c r="C141" s="53" t="s">
        <v>160</v>
      </c>
      <c r="D141" s="5" t="s">
        <v>37</v>
      </c>
      <c r="E141" s="54">
        <f>SUM(E142:E144)</f>
        <v>7800000</v>
      </c>
      <c r="F141" s="5" t="s">
        <v>0</v>
      </c>
    </row>
    <row r="142" spans="1:8" x14ac:dyDescent="0.25">
      <c r="A142" s="46"/>
      <c r="B142" s="46"/>
      <c r="C142" s="46"/>
      <c r="D142" s="46" t="s">
        <v>161</v>
      </c>
      <c r="E142" s="51">
        <v>7800000</v>
      </c>
      <c r="F142" s="46" t="s">
        <v>0</v>
      </c>
      <c r="H142" s="173">
        <f>E142/12</f>
        <v>650000</v>
      </c>
    </row>
    <row r="143" spans="1:8" hidden="1" x14ac:dyDescent="0.25">
      <c r="A143" s="46"/>
      <c r="B143" s="46"/>
      <c r="C143" s="46"/>
      <c r="D143" s="77" t="s">
        <v>162</v>
      </c>
      <c r="E143" s="49">
        <v>0</v>
      </c>
      <c r="F143" s="77"/>
    </row>
    <row r="144" spans="1:8" hidden="1" x14ac:dyDescent="0.25">
      <c r="A144" s="46"/>
      <c r="B144" s="46"/>
      <c r="C144" s="46"/>
      <c r="D144" s="46" t="s">
        <v>129</v>
      </c>
      <c r="E144" s="75">
        <v>0</v>
      </c>
      <c r="F144" s="46" t="s">
        <v>6</v>
      </c>
    </row>
    <row r="145" spans="1:6" ht="37.5" hidden="1" customHeight="1" x14ac:dyDescent="0.25">
      <c r="A145" s="3">
        <v>1</v>
      </c>
      <c r="B145" s="3">
        <v>4</v>
      </c>
      <c r="C145" s="34" t="s">
        <v>163</v>
      </c>
      <c r="D145" s="78" t="s">
        <v>164</v>
      </c>
      <c r="E145" s="35">
        <f>E146</f>
        <v>0</v>
      </c>
      <c r="F145" s="3"/>
    </row>
    <row r="146" spans="1:6" hidden="1" x14ac:dyDescent="0.25">
      <c r="A146" s="46"/>
      <c r="B146" s="46"/>
      <c r="C146" s="46"/>
      <c r="D146" s="46" t="s">
        <v>165</v>
      </c>
      <c r="E146" s="75"/>
      <c r="F146" s="46"/>
    </row>
    <row r="147" spans="1:6" hidden="1" x14ac:dyDescent="0.25">
      <c r="A147" s="46"/>
      <c r="B147" s="46"/>
      <c r="C147" s="46"/>
      <c r="D147" s="46"/>
      <c r="E147" s="75"/>
      <c r="F147" s="46"/>
    </row>
    <row r="148" spans="1:6" hidden="1" x14ac:dyDescent="0.25">
      <c r="A148" s="8">
        <v>1</v>
      </c>
      <c r="B148" s="8">
        <v>5</v>
      </c>
      <c r="C148" s="8"/>
      <c r="D148" s="10" t="s">
        <v>38</v>
      </c>
      <c r="E148" s="57">
        <f>E149+E152+E154</f>
        <v>0</v>
      </c>
      <c r="F148" s="8"/>
    </row>
    <row r="149" spans="1:6" ht="29.25" hidden="1" customHeight="1" x14ac:dyDescent="0.25">
      <c r="A149" s="3">
        <v>1</v>
      </c>
      <c r="B149" s="3">
        <v>5</v>
      </c>
      <c r="C149" s="34" t="s">
        <v>98</v>
      </c>
      <c r="D149" s="2" t="s">
        <v>39</v>
      </c>
      <c r="E149" s="35">
        <f>SUM(E150:E151)</f>
        <v>0</v>
      </c>
      <c r="F149" s="3" t="s">
        <v>1</v>
      </c>
    </row>
    <row r="150" spans="1:6" hidden="1" x14ac:dyDescent="0.25">
      <c r="A150" s="46"/>
      <c r="B150" s="46"/>
      <c r="C150" s="46"/>
      <c r="D150" s="42" t="s">
        <v>144</v>
      </c>
      <c r="E150" s="50">
        <v>0</v>
      </c>
      <c r="F150" s="42"/>
    </row>
    <row r="151" spans="1:6" hidden="1" x14ac:dyDescent="0.25">
      <c r="A151" s="46"/>
      <c r="B151" s="46"/>
      <c r="C151" s="46"/>
      <c r="D151" s="42" t="s">
        <v>166</v>
      </c>
      <c r="E151" s="50">
        <v>0</v>
      </c>
      <c r="F151" s="42"/>
    </row>
    <row r="152" spans="1:6" hidden="1" x14ac:dyDescent="0.25">
      <c r="A152" s="5">
        <v>1</v>
      </c>
      <c r="B152" s="5">
        <v>5</v>
      </c>
      <c r="C152" s="53" t="s">
        <v>125</v>
      </c>
      <c r="D152" s="79" t="s">
        <v>40</v>
      </c>
      <c r="E152" s="64">
        <f>E153</f>
        <v>0</v>
      </c>
      <c r="F152" s="63" t="s">
        <v>1</v>
      </c>
    </row>
    <row r="153" spans="1:6" hidden="1" x14ac:dyDescent="0.25">
      <c r="A153" s="5"/>
      <c r="B153" s="5"/>
      <c r="C153" s="53"/>
      <c r="D153" s="80" t="s">
        <v>167</v>
      </c>
      <c r="E153" s="50">
        <v>0</v>
      </c>
      <c r="F153" s="42"/>
    </row>
    <row r="154" spans="1:6" hidden="1" x14ac:dyDescent="0.25">
      <c r="A154" s="3">
        <v>1</v>
      </c>
      <c r="B154" s="81">
        <v>5</v>
      </c>
      <c r="C154" s="82" t="s">
        <v>159</v>
      </c>
      <c r="D154" s="83" t="s">
        <v>168</v>
      </c>
      <c r="E154" s="84">
        <f>E155</f>
        <v>0</v>
      </c>
      <c r="F154" s="81" t="s">
        <v>169</v>
      </c>
    </row>
    <row r="155" spans="1:6" hidden="1" x14ac:dyDescent="0.25">
      <c r="A155" s="46"/>
      <c r="B155" s="85"/>
      <c r="C155" s="85"/>
      <c r="D155" s="86" t="s">
        <v>170</v>
      </c>
      <c r="E155" s="87">
        <v>0</v>
      </c>
      <c r="F155" s="85"/>
    </row>
    <row r="156" spans="1:6" x14ac:dyDescent="0.25">
      <c r="A156" s="11">
        <v>2</v>
      </c>
      <c r="B156" s="11"/>
      <c r="C156" s="11"/>
      <c r="D156" s="11" t="s">
        <v>41</v>
      </c>
      <c r="E156" s="88">
        <f>E157+E195+E250+E273+E305+E312+E326+E327</f>
        <v>932222000</v>
      </c>
      <c r="F156" s="11"/>
    </row>
    <row r="157" spans="1:6" x14ac:dyDescent="0.25">
      <c r="A157" s="8">
        <v>2</v>
      </c>
      <c r="B157" s="8">
        <v>1</v>
      </c>
      <c r="C157" s="8"/>
      <c r="D157" s="10" t="s">
        <v>42</v>
      </c>
      <c r="E157" s="57">
        <f>E158+E166+E168+E170+E175+E178+E181+E188+E193</f>
        <v>132622000</v>
      </c>
      <c r="F157" s="8"/>
    </row>
    <row r="158" spans="1:6" ht="36" customHeight="1" x14ac:dyDescent="0.25">
      <c r="A158" s="3">
        <v>2</v>
      </c>
      <c r="B158" s="3">
        <v>1</v>
      </c>
      <c r="C158" s="34" t="s">
        <v>85</v>
      </c>
      <c r="D158" s="2" t="s">
        <v>43</v>
      </c>
      <c r="E158" s="35">
        <f>SUM(E159:E162)</f>
        <v>32400000</v>
      </c>
      <c r="F158" s="2" t="s">
        <v>3</v>
      </c>
    </row>
    <row r="159" spans="1:6" x14ac:dyDescent="0.25">
      <c r="A159" s="46"/>
      <c r="B159" s="46"/>
      <c r="C159" s="46"/>
      <c r="D159" s="42" t="s">
        <v>171</v>
      </c>
      <c r="E159" s="50">
        <v>18000000</v>
      </c>
      <c r="F159" s="42" t="s">
        <v>3</v>
      </c>
    </row>
    <row r="160" spans="1:6" x14ac:dyDescent="0.25">
      <c r="A160" s="46"/>
      <c r="B160" s="46"/>
      <c r="C160" s="46"/>
      <c r="D160" s="42" t="s">
        <v>435</v>
      </c>
      <c r="E160" s="50">
        <v>12000000</v>
      </c>
      <c r="F160" s="42" t="s">
        <v>3</v>
      </c>
    </row>
    <row r="161" spans="1:7" x14ac:dyDescent="0.25">
      <c r="A161" s="46"/>
      <c r="B161" s="46"/>
      <c r="C161" s="46"/>
      <c r="D161" s="42" t="s">
        <v>173</v>
      </c>
      <c r="E161" s="50">
        <v>1200000</v>
      </c>
      <c r="F161" s="42" t="s">
        <v>3</v>
      </c>
    </row>
    <row r="162" spans="1:7" x14ac:dyDescent="0.25">
      <c r="A162" s="46"/>
      <c r="B162" s="46"/>
      <c r="C162" s="46"/>
      <c r="D162" s="42" t="s">
        <v>174</v>
      </c>
      <c r="E162" s="50">
        <v>1200000</v>
      </c>
      <c r="F162" s="42" t="s">
        <v>3</v>
      </c>
    </row>
    <row r="163" spans="1:7" hidden="1" x14ac:dyDescent="0.25">
      <c r="A163" s="5">
        <v>2</v>
      </c>
      <c r="B163" s="5">
        <v>1</v>
      </c>
      <c r="C163" s="53" t="s">
        <v>89</v>
      </c>
      <c r="D163" s="5" t="s">
        <v>175</v>
      </c>
      <c r="E163" s="54"/>
      <c r="F163" s="5"/>
    </row>
    <row r="164" spans="1:7" hidden="1" x14ac:dyDescent="0.25">
      <c r="A164" s="5"/>
      <c r="B164" s="5"/>
      <c r="C164" s="53"/>
      <c r="D164" s="5"/>
      <c r="E164" s="54"/>
      <c r="F164" s="5"/>
    </row>
    <row r="165" spans="1:7" hidden="1" x14ac:dyDescent="0.25">
      <c r="A165" s="5"/>
      <c r="B165" s="5"/>
      <c r="C165" s="53"/>
      <c r="D165" s="5"/>
      <c r="E165" s="54"/>
      <c r="F165" s="5"/>
    </row>
    <row r="166" spans="1:7" hidden="1" x14ac:dyDescent="0.25">
      <c r="A166" s="89">
        <v>2</v>
      </c>
      <c r="B166" s="89">
        <v>1</v>
      </c>
      <c r="C166" s="90" t="s">
        <v>98</v>
      </c>
      <c r="D166" s="89" t="s">
        <v>176</v>
      </c>
      <c r="E166" s="91">
        <f>E167</f>
        <v>0</v>
      </c>
      <c r="F166" s="5" t="s">
        <v>3</v>
      </c>
    </row>
    <row r="167" spans="1:7" hidden="1" x14ac:dyDescent="0.25">
      <c r="A167" s="89"/>
      <c r="B167" s="89"/>
      <c r="C167" s="90"/>
      <c r="D167" s="48" t="s">
        <v>177</v>
      </c>
      <c r="E167" s="49">
        <v>0</v>
      </c>
      <c r="F167" s="5"/>
    </row>
    <row r="168" spans="1:7" ht="29.25" customHeight="1" x14ac:dyDescent="0.25">
      <c r="A168" s="3">
        <v>2</v>
      </c>
      <c r="B168" s="3">
        <v>1</v>
      </c>
      <c r="C168" s="34" t="s">
        <v>109</v>
      </c>
      <c r="D168" s="2" t="s">
        <v>44</v>
      </c>
      <c r="E168" s="35">
        <f>E169</f>
        <v>2000000</v>
      </c>
      <c r="F168" s="3" t="s">
        <v>1</v>
      </c>
    </row>
    <row r="169" spans="1:7" ht="18.75" customHeight="1" x14ac:dyDescent="0.25">
      <c r="A169" s="5"/>
      <c r="B169" s="5"/>
      <c r="C169" s="53"/>
      <c r="D169" s="71" t="s">
        <v>178</v>
      </c>
      <c r="E169" s="50">
        <v>2000000</v>
      </c>
      <c r="F169" s="92"/>
    </row>
    <row r="170" spans="1:7" ht="30" x14ac:dyDescent="0.25">
      <c r="A170" s="3">
        <v>2</v>
      </c>
      <c r="B170" s="3">
        <v>1</v>
      </c>
      <c r="C170" s="34" t="s">
        <v>122</v>
      </c>
      <c r="D170" s="2" t="s">
        <v>45</v>
      </c>
      <c r="E170" s="35">
        <f>E171+E172</f>
        <v>2000000</v>
      </c>
      <c r="F170" s="3" t="s">
        <v>6</v>
      </c>
    </row>
    <row r="171" spans="1:7" x14ac:dyDescent="0.25">
      <c r="A171" s="3"/>
      <c r="B171" s="3"/>
      <c r="C171" s="34"/>
      <c r="D171" s="43" t="s">
        <v>179</v>
      </c>
      <c r="E171" s="40">
        <v>2000000</v>
      </c>
      <c r="F171" s="227" t="s">
        <v>6</v>
      </c>
      <c r="G171" s="193" t="s">
        <v>9</v>
      </c>
    </row>
    <row r="172" spans="1:7" x14ac:dyDescent="0.25">
      <c r="A172" s="3"/>
      <c r="B172" s="3"/>
      <c r="C172" s="34"/>
      <c r="D172" s="43" t="s">
        <v>179</v>
      </c>
      <c r="E172" s="40">
        <v>0</v>
      </c>
      <c r="F172" s="227"/>
      <c r="G172" s="193" t="s">
        <v>433</v>
      </c>
    </row>
    <row r="173" spans="1:7" hidden="1" x14ac:dyDescent="0.25">
      <c r="A173" s="3"/>
      <c r="B173" s="3"/>
      <c r="C173" s="34"/>
      <c r="D173" s="43" t="s">
        <v>180</v>
      </c>
      <c r="E173" s="37">
        <v>0</v>
      </c>
      <c r="F173" s="36"/>
    </row>
    <row r="174" spans="1:7" hidden="1" x14ac:dyDescent="0.25">
      <c r="A174" s="3"/>
      <c r="B174" s="3"/>
      <c r="C174" s="34"/>
      <c r="D174" s="43" t="s">
        <v>181</v>
      </c>
      <c r="E174" s="37">
        <v>0</v>
      </c>
      <c r="F174" s="36"/>
    </row>
    <row r="175" spans="1:7" s="185" customFormat="1" ht="45" x14ac:dyDescent="0.25">
      <c r="A175" s="3">
        <v>2</v>
      </c>
      <c r="B175" s="3">
        <v>1</v>
      </c>
      <c r="C175" s="34" t="s">
        <v>125</v>
      </c>
      <c r="D175" s="2" t="s">
        <v>182</v>
      </c>
      <c r="E175" s="35">
        <f>SUM(E176:E177)</f>
        <v>43000000</v>
      </c>
      <c r="F175" s="3" t="s">
        <v>3</v>
      </c>
      <c r="G175" t="s">
        <v>3</v>
      </c>
    </row>
    <row r="176" spans="1:7" x14ac:dyDescent="0.25">
      <c r="A176" s="3"/>
      <c r="B176" s="3"/>
      <c r="C176" s="34"/>
      <c r="D176" s="43" t="s">
        <v>464</v>
      </c>
      <c r="E176" s="212">
        <v>23000000</v>
      </c>
      <c r="F176" s="36"/>
    </row>
    <row r="177" spans="1:8" x14ac:dyDescent="0.25">
      <c r="A177" s="3"/>
      <c r="B177" s="3"/>
      <c r="C177" s="34"/>
      <c r="D177" s="43" t="s">
        <v>463</v>
      </c>
      <c r="E177" s="212">
        <v>20000000</v>
      </c>
      <c r="F177" s="76"/>
    </row>
    <row r="178" spans="1:8" s="185" customFormat="1" ht="30" hidden="1" x14ac:dyDescent="0.25">
      <c r="A178" s="3">
        <v>2</v>
      </c>
      <c r="B178" s="3">
        <v>1</v>
      </c>
      <c r="C178" s="34" t="s">
        <v>159</v>
      </c>
      <c r="D178" s="2" t="s">
        <v>188</v>
      </c>
      <c r="E178" s="35">
        <f>SUM(E179:E180)</f>
        <v>0</v>
      </c>
      <c r="F178" s="3" t="s">
        <v>3</v>
      </c>
    </row>
    <row r="179" spans="1:8" hidden="1" x14ac:dyDescent="0.25">
      <c r="A179" s="3"/>
      <c r="B179" s="3"/>
      <c r="C179" s="34"/>
      <c r="D179" s="43" t="s">
        <v>189</v>
      </c>
      <c r="E179" s="37">
        <v>0</v>
      </c>
      <c r="F179" s="3"/>
    </row>
    <row r="180" spans="1:8" hidden="1" x14ac:dyDescent="0.25">
      <c r="A180" s="3"/>
      <c r="B180" s="3"/>
      <c r="C180" s="34"/>
      <c r="D180" s="43" t="s">
        <v>190</v>
      </c>
      <c r="E180" s="37">
        <v>0</v>
      </c>
      <c r="F180" s="3"/>
    </row>
    <row r="181" spans="1:8" x14ac:dyDescent="0.25">
      <c r="A181" s="5">
        <v>2</v>
      </c>
      <c r="B181" s="5">
        <v>1</v>
      </c>
      <c r="C181" s="53" t="s">
        <v>160</v>
      </c>
      <c r="D181" s="12" t="s">
        <v>46</v>
      </c>
      <c r="E181" s="54">
        <f>SUM(E182:E187)</f>
        <v>37322000</v>
      </c>
      <c r="F181" s="5" t="s">
        <v>458</v>
      </c>
      <c r="G181" t="s">
        <v>458</v>
      </c>
    </row>
    <row r="182" spans="1:8" x14ac:dyDescent="0.25">
      <c r="A182" s="5"/>
      <c r="B182" s="5"/>
      <c r="C182" s="53"/>
      <c r="D182" s="71" t="s">
        <v>191</v>
      </c>
      <c r="E182" s="50">
        <v>28800000</v>
      </c>
      <c r="F182" s="42" t="s">
        <v>3</v>
      </c>
      <c r="G182" t="s">
        <v>3</v>
      </c>
    </row>
    <row r="183" spans="1:8" hidden="1" x14ac:dyDescent="0.25">
      <c r="A183" s="5"/>
      <c r="B183" s="5"/>
      <c r="C183" s="53"/>
      <c r="D183" s="71" t="s">
        <v>192</v>
      </c>
      <c r="E183" s="50">
        <v>0</v>
      </c>
      <c r="F183" s="42"/>
    </row>
    <row r="184" spans="1:8" x14ac:dyDescent="0.25">
      <c r="A184" s="5"/>
      <c r="B184" s="5"/>
      <c r="C184" s="53"/>
      <c r="D184" s="71" t="s">
        <v>149</v>
      </c>
      <c r="E184" s="50">
        <v>2000000</v>
      </c>
      <c r="F184" s="42" t="s">
        <v>0</v>
      </c>
      <c r="G184" t="s">
        <v>0</v>
      </c>
    </row>
    <row r="185" spans="1:8" ht="12.75" customHeight="1" x14ac:dyDescent="0.25">
      <c r="A185" s="5"/>
      <c r="B185" s="5"/>
      <c r="C185" s="53"/>
      <c r="D185" s="71" t="s">
        <v>193</v>
      </c>
      <c r="E185" s="50">
        <v>522000</v>
      </c>
      <c r="F185" s="42" t="s">
        <v>3</v>
      </c>
      <c r="G185" t="s">
        <v>3</v>
      </c>
    </row>
    <row r="186" spans="1:8" ht="12.75" customHeight="1" x14ac:dyDescent="0.25">
      <c r="A186" s="5"/>
      <c r="B186" s="5"/>
      <c r="C186" s="53"/>
      <c r="D186" s="71" t="s">
        <v>194</v>
      </c>
      <c r="E186" s="50">
        <v>3000000</v>
      </c>
      <c r="F186" s="42" t="s">
        <v>3</v>
      </c>
      <c r="G186" t="s">
        <v>3</v>
      </c>
    </row>
    <row r="187" spans="1:8" x14ac:dyDescent="0.25">
      <c r="A187" s="5"/>
      <c r="B187" s="5"/>
      <c r="C187" s="53"/>
      <c r="D187" s="71" t="s">
        <v>195</v>
      </c>
      <c r="E187" s="50">
        <v>3000000</v>
      </c>
      <c r="F187" s="42" t="s">
        <v>3</v>
      </c>
      <c r="G187" t="s">
        <v>3</v>
      </c>
      <c r="H187" s="173">
        <f>E187/12</f>
        <v>250000</v>
      </c>
    </row>
    <row r="188" spans="1:8" x14ac:dyDescent="0.25">
      <c r="A188" s="5">
        <v>2</v>
      </c>
      <c r="B188" s="5">
        <v>1</v>
      </c>
      <c r="C188" s="53" t="s">
        <v>196</v>
      </c>
      <c r="D188" s="12" t="s">
        <v>197</v>
      </c>
      <c r="E188" s="54">
        <f>SUM(E189:E191)</f>
        <v>5900000</v>
      </c>
      <c r="F188" s="5" t="s">
        <v>3</v>
      </c>
      <c r="G188" t="s">
        <v>3</v>
      </c>
    </row>
    <row r="189" spans="1:8" x14ac:dyDescent="0.25">
      <c r="A189" s="5"/>
      <c r="B189" s="5"/>
      <c r="C189" s="53"/>
      <c r="D189" s="71" t="s">
        <v>417</v>
      </c>
      <c r="E189" s="50">
        <v>3000000</v>
      </c>
      <c r="F189" s="42"/>
    </row>
    <row r="190" spans="1:8" x14ac:dyDescent="0.25">
      <c r="A190" s="5"/>
      <c r="B190" s="5"/>
      <c r="C190" s="53"/>
      <c r="D190" s="71" t="s">
        <v>418</v>
      </c>
      <c r="E190" s="50">
        <v>2000000</v>
      </c>
      <c r="F190" s="42"/>
    </row>
    <row r="191" spans="1:8" x14ac:dyDescent="0.25">
      <c r="A191" s="5"/>
      <c r="B191" s="5"/>
      <c r="C191" s="53"/>
      <c r="D191" s="71" t="s">
        <v>419</v>
      </c>
      <c r="E191" s="50">
        <v>900000</v>
      </c>
      <c r="F191" s="42"/>
    </row>
    <row r="192" spans="1:8" hidden="1" x14ac:dyDescent="0.25">
      <c r="A192" s="5"/>
      <c r="B192" s="5"/>
      <c r="C192" s="53"/>
      <c r="D192" s="71" t="s">
        <v>198</v>
      </c>
      <c r="E192" s="50">
        <v>0</v>
      </c>
      <c r="F192" s="5"/>
    </row>
    <row r="193" spans="1:8" x14ac:dyDescent="0.25">
      <c r="A193" s="5">
        <v>2</v>
      </c>
      <c r="B193" s="5">
        <v>1</v>
      </c>
      <c r="C193" s="53" t="s">
        <v>199</v>
      </c>
      <c r="D193" s="12" t="s">
        <v>200</v>
      </c>
      <c r="E193" s="54">
        <f>E194</f>
        <v>10000000</v>
      </c>
      <c r="F193" s="5" t="s">
        <v>3</v>
      </c>
      <c r="G193" t="s">
        <v>3</v>
      </c>
    </row>
    <row r="194" spans="1:8" x14ac:dyDescent="0.25">
      <c r="A194" s="5"/>
      <c r="B194" s="5"/>
      <c r="C194" s="53"/>
      <c r="D194" s="71" t="s">
        <v>201</v>
      </c>
      <c r="E194" s="50">
        <v>10000000</v>
      </c>
      <c r="F194" s="42" t="s">
        <v>432</v>
      </c>
      <c r="G194" t="s">
        <v>432</v>
      </c>
    </row>
    <row r="195" spans="1:8" x14ac:dyDescent="0.25">
      <c r="A195" s="8">
        <v>2</v>
      </c>
      <c r="B195" s="8">
        <v>2</v>
      </c>
      <c r="C195" s="8"/>
      <c r="D195" s="6" t="s">
        <v>47</v>
      </c>
      <c r="E195" s="57">
        <f>E196+E200+E207+E210+E240+E242+E244</f>
        <v>229100000</v>
      </c>
      <c r="F195" s="8" t="s">
        <v>3</v>
      </c>
      <c r="G195" t="s">
        <v>3</v>
      </c>
    </row>
    <row r="196" spans="1:8" x14ac:dyDescent="0.25">
      <c r="A196" s="5">
        <v>2</v>
      </c>
      <c r="B196" s="5">
        <v>2</v>
      </c>
      <c r="C196" s="53" t="s">
        <v>85</v>
      </c>
      <c r="D196" s="12" t="s">
        <v>202</v>
      </c>
      <c r="E196" s="54">
        <f>SUM(E197:E199)</f>
        <v>18000000</v>
      </c>
      <c r="F196" s="5" t="s">
        <v>3</v>
      </c>
    </row>
    <row r="197" spans="1:8" x14ac:dyDescent="0.25">
      <c r="A197" s="46"/>
      <c r="B197" s="46"/>
      <c r="C197" s="46"/>
      <c r="D197" s="71" t="s">
        <v>203</v>
      </c>
      <c r="E197" s="50">
        <v>0</v>
      </c>
      <c r="F197" s="42"/>
    </row>
    <row r="198" spans="1:8" x14ac:dyDescent="0.25">
      <c r="A198" s="46"/>
      <c r="B198" s="46"/>
      <c r="C198" s="46"/>
      <c r="D198" s="71" t="s">
        <v>204</v>
      </c>
      <c r="E198" s="50">
        <v>0</v>
      </c>
      <c r="F198" s="42"/>
    </row>
    <row r="199" spans="1:8" x14ac:dyDescent="0.25">
      <c r="A199" s="46"/>
      <c r="B199" s="46"/>
      <c r="C199" s="46"/>
      <c r="D199" s="71" t="s">
        <v>205</v>
      </c>
      <c r="E199" s="51">
        <v>18000000</v>
      </c>
      <c r="F199" s="42"/>
      <c r="H199">
        <f>1500000*12</f>
        <v>18000000</v>
      </c>
    </row>
    <row r="200" spans="1:8" x14ac:dyDescent="0.25">
      <c r="A200" s="5">
        <v>2</v>
      </c>
      <c r="B200" s="5">
        <v>2</v>
      </c>
      <c r="C200" s="53" t="s">
        <v>89</v>
      </c>
      <c r="D200" s="12" t="s">
        <v>48</v>
      </c>
      <c r="E200" s="54">
        <f>SUM(E201:E206)</f>
        <v>147600000</v>
      </c>
      <c r="F200" s="5" t="s">
        <v>3</v>
      </c>
      <c r="G200" t="s">
        <v>3</v>
      </c>
    </row>
    <row r="201" spans="1:8" x14ac:dyDescent="0.25">
      <c r="A201" s="46"/>
      <c r="B201" s="46"/>
      <c r="C201" s="46"/>
      <c r="D201" s="71" t="s">
        <v>206</v>
      </c>
      <c r="E201" s="50">
        <v>40000000</v>
      </c>
      <c r="F201" s="42" t="s">
        <v>3</v>
      </c>
      <c r="G201" t="s">
        <v>3</v>
      </c>
    </row>
    <row r="202" spans="1:8" x14ac:dyDescent="0.25">
      <c r="A202" s="46"/>
      <c r="B202" s="46"/>
      <c r="C202" s="46"/>
      <c r="D202" s="71" t="s">
        <v>402</v>
      </c>
      <c r="E202" s="50">
        <v>36000000</v>
      </c>
      <c r="F202" s="42" t="s">
        <v>3</v>
      </c>
      <c r="G202" t="s">
        <v>3</v>
      </c>
      <c r="H202">
        <f>200000*15*12</f>
        <v>36000000</v>
      </c>
    </row>
    <row r="203" spans="1:8" hidden="1" x14ac:dyDescent="0.25">
      <c r="A203" s="97"/>
      <c r="B203" s="97"/>
      <c r="C203" s="97"/>
      <c r="D203" s="43" t="s">
        <v>207</v>
      </c>
      <c r="E203" s="37">
        <v>0</v>
      </c>
      <c r="F203" s="36" t="s">
        <v>3</v>
      </c>
    </row>
    <row r="204" spans="1:8" x14ac:dyDescent="0.25">
      <c r="A204" s="46"/>
      <c r="B204" s="46"/>
      <c r="C204" s="46"/>
      <c r="D204" s="98" t="s">
        <v>209</v>
      </c>
      <c r="E204" s="50">
        <v>2000000</v>
      </c>
      <c r="F204" s="42"/>
    </row>
    <row r="205" spans="1:8" x14ac:dyDescent="0.25">
      <c r="A205" s="46"/>
      <c r="B205" s="46"/>
      <c r="C205" s="46"/>
      <c r="D205" s="98" t="s">
        <v>210</v>
      </c>
      <c r="E205" s="50">
        <v>9600000</v>
      </c>
      <c r="F205" s="42" t="s">
        <v>3</v>
      </c>
      <c r="G205" t="s">
        <v>3</v>
      </c>
    </row>
    <row r="206" spans="1:8" ht="16.5" customHeight="1" x14ac:dyDescent="0.25">
      <c r="A206" s="46"/>
      <c r="B206" s="46"/>
      <c r="C206" s="46"/>
      <c r="D206" s="71" t="s">
        <v>211</v>
      </c>
      <c r="E206" s="50">
        <v>60000000</v>
      </c>
      <c r="F206" s="42" t="s">
        <v>3</v>
      </c>
      <c r="G206" t="s">
        <v>3</v>
      </c>
    </row>
    <row r="207" spans="1:8" x14ac:dyDescent="0.25">
      <c r="A207" s="5">
        <v>2</v>
      </c>
      <c r="B207" s="5">
        <v>2</v>
      </c>
      <c r="C207" s="53" t="s">
        <v>98</v>
      </c>
      <c r="D207" s="12" t="s">
        <v>49</v>
      </c>
      <c r="E207" s="54">
        <f>SUM(E208:E209)</f>
        <v>4000000</v>
      </c>
      <c r="F207" s="5" t="s">
        <v>3</v>
      </c>
      <c r="G207" t="s">
        <v>3</v>
      </c>
    </row>
    <row r="208" spans="1:8" x14ac:dyDescent="0.25">
      <c r="A208" s="5"/>
      <c r="B208" s="5"/>
      <c r="C208" s="53"/>
      <c r="D208" s="71" t="s">
        <v>212</v>
      </c>
      <c r="E208" s="50">
        <v>2000000</v>
      </c>
      <c r="F208" s="42"/>
    </row>
    <row r="209" spans="1:6" x14ac:dyDescent="0.25">
      <c r="A209" s="5"/>
      <c r="B209" s="5"/>
      <c r="C209" s="53"/>
      <c r="D209" s="71" t="s">
        <v>213</v>
      </c>
      <c r="E209" s="50">
        <v>2000000</v>
      </c>
      <c r="F209" s="42"/>
    </row>
    <row r="210" spans="1:6" hidden="1" x14ac:dyDescent="0.25">
      <c r="A210" s="5">
        <v>2</v>
      </c>
      <c r="B210" s="5">
        <v>2</v>
      </c>
      <c r="C210" s="53" t="s">
        <v>109</v>
      </c>
      <c r="D210" s="12" t="s">
        <v>50</v>
      </c>
      <c r="E210" s="54">
        <f>E211+E215+E219+E220+E221+E222+E223+E228+E231+E235+E236+E237</f>
        <v>0</v>
      </c>
      <c r="F210" s="5" t="s">
        <v>3</v>
      </c>
    </row>
    <row r="211" spans="1:6" ht="30" hidden="1" x14ac:dyDescent="0.25">
      <c r="A211" s="5"/>
      <c r="B211" s="3"/>
      <c r="C211" s="34"/>
      <c r="D211" s="99" t="s">
        <v>214</v>
      </c>
      <c r="E211" s="100"/>
      <c r="F211" s="76" t="s">
        <v>3</v>
      </c>
    </row>
    <row r="212" spans="1:6" hidden="1" x14ac:dyDescent="0.25">
      <c r="A212" s="5"/>
      <c r="B212" s="3"/>
      <c r="C212" s="34"/>
      <c r="D212" s="101" t="s">
        <v>215</v>
      </c>
      <c r="E212" s="37"/>
      <c r="F212" s="36" t="s">
        <v>3</v>
      </c>
    </row>
    <row r="213" spans="1:6" hidden="1" x14ac:dyDescent="0.25">
      <c r="A213" s="5"/>
      <c r="B213" s="3"/>
      <c r="C213" s="34"/>
      <c r="D213" s="101" t="s">
        <v>216</v>
      </c>
      <c r="E213" s="37"/>
      <c r="F213" s="36" t="s">
        <v>3</v>
      </c>
    </row>
    <row r="214" spans="1:6" hidden="1" x14ac:dyDescent="0.25">
      <c r="A214" s="5"/>
      <c r="B214" s="3"/>
      <c r="C214" s="34"/>
      <c r="D214" s="101" t="s">
        <v>217</v>
      </c>
      <c r="E214" s="37">
        <v>0</v>
      </c>
      <c r="F214" s="36" t="s">
        <v>3</v>
      </c>
    </row>
    <row r="215" spans="1:6" hidden="1" x14ac:dyDescent="0.25">
      <c r="A215" s="5"/>
      <c r="B215" s="3"/>
      <c r="C215" s="34"/>
      <c r="D215" s="102" t="s">
        <v>218</v>
      </c>
      <c r="E215" s="100"/>
      <c r="F215" s="76" t="s">
        <v>3</v>
      </c>
    </row>
    <row r="216" spans="1:6" hidden="1" x14ac:dyDescent="0.25">
      <c r="A216" s="5"/>
      <c r="B216" s="3"/>
      <c r="C216" s="34"/>
      <c r="D216" s="101" t="s">
        <v>219</v>
      </c>
      <c r="E216" s="37"/>
      <c r="F216" s="36" t="s">
        <v>3</v>
      </c>
    </row>
    <row r="217" spans="1:6" hidden="1" x14ac:dyDescent="0.25">
      <c r="A217" s="5"/>
      <c r="B217" s="3"/>
      <c r="C217" s="34"/>
      <c r="D217" s="101" t="s">
        <v>220</v>
      </c>
      <c r="E217" s="37"/>
      <c r="F217" s="36" t="s">
        <v>3</v>
      </c>
    </row>
    <row r="218" spans="1:6" hidden="1" x14ac:dyDescent="0.25">
      <c r="A218" s="5"/>
      <c r="B218" s="3"/>
      <c r="C218" s="34"/>
      <c r="D218" s="101" t="s">
        <v>221</v>
      </c>
      <c r="E218" s="37"/>
      <c r="F218" s="36" t="s">
        <v>3</v>
      </c>
    </row>
    <row r="219" spans="1:6" hidden="1" x14ac:dyDescent="0.25">
      <c r="A219" s="5"/>
      <c r="B219" s="3"/>
      <c r="C219" s="34"/>
      <c r="D219" s="102" t="s">
        <v>222</v>
      </c>
      <c r="E219" s="100"/>
      <c r="F219" s="76" t="s">
        <v>3</v>
      </c>
    </row>
    <row r="220" spans="1:6" hidden="1" x14ac:dyDescent="0.25">
      <c r="A220" s="5"/>
      <c r="B220" s="3"/>
      <c r="C220" s="34"/>
      <c r="D220" s="102" t="s">
        <v>223</v>
      </c>
      <c r="E220" s="100"/>
      <c r="F220" s="76" t="s">
        <v>3</v>
      </c>
    </row>
    <row r="221" spans="1:6" hidden="1" x14ac:dyDescent="0.25">
      <c r="A221" s="5"/>
      <c r="B221" s="3"/>
      <c r="C221" s="34"/>
      <c r="D221" s="102" t="s">
        <v>224</v>
      </c>
      <c r="E221" s="100"/>
      <c r="F221" s="76" t="s">
        <v>3</v>
      </c>
    </row>
    <row r="222" spans="1:6" hidden="1" x14ac:dyDescent="0.25">
      <c r="A222" s="5"/>
      <c r="B222" s="3"/>
      <c r="C222" s="34"/>
      <c r="D222" s="102" t="s">
        <v>225</v>
      </c>
      <c r="E222" s="100"/>
      <c r="F222" s="76" t="s">
        <v>3</v>
      </c>
    </row>
    <row r="223" spans="1:6" hidden="1" x14ac:dyDescent="0.25">
      <c r="A223" s="5"/>
      <c r="B223" s="3"/>
      <c r="C223" s="34"/>
      <c r="D223" s="102" t="s">
        <v>226</v>
      </c>
      <c r="E223" s="100"/>
      <c r="F223" s="76" t="s">
        <v>3</v>
      </c>
    </row>
    <row r="224" spans="1:6" hidden="1" x14ac:dyDescent="0.25">
      <c r="A224" s="5"/>
      <c r="B224" s="3"/>
      <c r="C224" s="34"/>
      <c r="D224" s="101" t="s">
        <v>227</v>
      </c>
      <c r="E224" s="37"/>
      <c r="F224" s="36" t="s">
        <v>3</v>
      </c>
    </row>
    <row r="225" spans="1:7" hidden="1" x14ac:dyDescent="0.25">
      <c r="A225" s="5"/>
      <c r="B225" s="3"/>
      <c r="C225" s="34"/>
      <c r="D225" s="101" t="s">
        <v>228</v>
      </c>
      <c r="E225" s="37"/>
      <c r="F225" s="36" t="s">
        <v>3</v>
      </c>
    </row>
    <row r="226" spans="1:7" hidden="1" x14ac:dyDescent="0.25">
      <c r="A226" s="5"/>
      <c r="B226" s="3"/>
      <c r="C226" s="34"/>
      <c r="D226" s="101" t="s">
        <v>229</v>
      </c>
      <c r="E226" s="37"/>
      <c r="F226" s="36" t="s">
        <v>3</v>
      </c>
    </row>
    <row r="227" spans="1:7" hidden="1" x14ac:dyDescent="0.25">
      <c r="A227" s="53"/>
      <c r="B227" s="3"/>
      <c r="C227" s="34"/>
      <c r="D227" s="101" t="s">
        <v>230</v>
      </c>
      <c r="E227" s="37"/>
      <c r="F227" s="36" t="s">
        <v>3</v>
      </c>
    </row>
    <row r="228" spans="1:7" ht="30" hidden="1" x14ac:dyDescent="0.25">
      <c r="A228" s="53"/>
      <c r="B228" s="3"/>
      <c r="C228" s="34"/>
      <c r="D228" s="102" t="s">
        <v>231</v>
      </c>
      <c r="E228" s="100"/>
      <c r="F228" s="76" t="s">
        <v>3</v>
      </c>
    </row>
    <row r="229" spans="1:7" hidden="1" x14ac:dyDescent="0.25">
      <c r="A229" s="53"/>
      <c r="B229" s="3"/>
      <c r="C229" s="34"/>
      <c r="D229" s="101" t="s">
        <v>232</v>
      </c>
      <c r="E229" s="37"/>
      <c r="F229" s="36" t="s">
        <v>3</v>
      </c>
    </row>
    <row r="230" spans="1:7" hidden="1" x14ac:dyDescent="0.25">
      <c r="A230" s="53"/>
      <c r="B230" s="3"/>
      <c r="C230" s="34"/>
      <c r="D230" s="101" t="s">
        <v>233</v>
      </c>
      <c r="E230" s="37"/>
      <c r="F230" s="36" t="s">
        <v>3</v>
      </c>
    </row>
    <row r="231" spans="1:7" hidden="1" x14ac:dyDescent="0.25">
      <c r="A231" s="5"/>
      <c r="B231" s="3"/>
      <c r="C231" s="34"/>
      <c r="D231" s="99" t="s">
        <v>234</v>
      </c>
      <c r="E231" s="100"/>
      <c r="F231" s="76" t="s">
        <v>3</v>
      </c>
    </row>
    <row r="232" spans="1:7" hidden="1" x14ac:dyDescent="0.25">
      <c r="A232" s="53"/>
      <c r="B232" s="3"/>
      <c r="C232" s="34"/>
      <c r="D232" s="101" t="s">
        <v>209</v>
      </c>
      <c r="E232" s="37"/>
      <c r="F232" s="36" t="s">
        <v>3</v>
      </c>
    </row>
    <row r="233" spans="1:7" hidden="1" x14ac:dyDescent="0.25">
      <c r="A233" s="53"/>
      <c r="B233" s="3"/>
      <c r="C233" s="34"/>
      <c r="D233" s="101" t="s">
        <v>235</v>
      </c>
      <c r="E233" s="37"/>
      <c r="F233" s="36" t="s">
        <v>3</v>
      </c>
    </row>
    <row r="234" spans="1:7" hidden="1" x14ac:dyDescent="0.25">
      <c r="A234" s="5"/>
      <c r="B234" s="3"/>
      <c r="C234" s="34"/>
      <c r="D234" s="101" t="s">
        <v>236</v>
      </c>
      <c r="E234" s="37"/>
      <c r="F234" s="36" t="s">
        <v>3</v>
      </c>
    </row>
    <row r="235" spans="1:7" ht="30" hidden="1" x14ac:dyDescent="0.25">
      <c r="A235" s="5"/>
      <c r="B235" s="3"/>
      <c r="C235" s="34"/>
      <c r="D235" s="102" t="s">
        <v>237</v>
      </c>
      <c r="E235" s="100"/>
      <c r="F235" s="76" t="s">
        <v>3</v>
      </c>
    </row>
    <row r="236" spans="1:7" ht="30" hidden="1" x14ac:dyDescent="0.25">
      <c r="A236" s="5"/>
      <c r="B236" s="3"/>
      <c r="C236" s="34"/>
      <c r="D236" s="102" t="s">
        <v>238</v>
      </c>
      <c r="E236" s="100"/>
      <c r="F236" s="76" t="s">
        <v>3</v>
      </c>
    </row>
    <row r="237" spans="1:7" hidden="1" x14ac:dyDescent="0.25">
      <c r="A237" s="5"/>
      <c r="B237" s="3"/>
      <c r="C237" s="34"/>
      <c r="D237" s="99" t="s">
        <v>239</v>
      </c>
      <c r="E237" s="100">
        <f>SUM(E238:E239)</f>
        <v>0</v>
      </c>
      <c r="F237" s="76" t="s">
        <v>3</v>
      </c>
    </row>
    <row r="238" spans="1:7" hidden="1" x14ac:dyDescent="0.25">
      <c r="A238" s="5"/>
      <c r="B238" s="5"/>
      <c r="C238" s="53"/>
      <c r="D238" s="71" t="s">
        <v>212</v>
      </c>
      <c r="E238" s="50">
        <v>0</v>
      </c>
      <c r="F238" s="42" t="s">
        <v>3</v>
      </c>
    </row>
    <row r="239" spans="1:7" hidden="1" x14ac:dyDescent="0.25">
      <c r="A239" s="5"/>
      <c r="B239" s="5"/>
      <c r="C239" s="53"/>
      <c r="D239" s="71" t="s">
        <v>210</v>
      </c>
      <c r="E239" s="50">
        <v>0</v>
      </c>
      <c r="F239" s="42" t="s">
        <v>3</v>
      </c>
    </row>
    <row r="240" spans="1:7" x14ac:dyDescent="0.25">
      <c r="A240" s="5">
        <v>2</v>
      </c>
      <c r="B240" s="5">
        <v>2</v>
      </c>
      <c r="C240" s="53" t="s">
        <v>125</v>
      </c>
      <c r="D240" s="12" t="s">
        <v>51</v>
      </c>
      <c r="E240" s="54">
        <f>E241</f>
        <v>18000000</v>
      </c>
      <c r="F240" s="5" t="s">
        <v>3</v>
      </c>
      <c r="G240" t="s">
        <v>3</v>
      </c>
    </row>
    <row r="241" spans="1:7" x14ac:dyDescent="0.25">
      <c r="A241" s="46"/>
      <c r="B241" s="46"/>
      <c r="C241" s="46"/>
      <c r="D241" s="71" t="s">
        <v>240</v>
      </c>
      <c r="E241" s="50">
        <v>18000000</v>
      </c>
      <c r="F241" s="42" t="s">
        <v>3</v>
      </c>
      <c r="G241" t="s">
        <v>3</v>
      </c>
    </row>
    <row r="242" spans="1:7" x14ac:dyDescent="0.25">
      <c r="A242" s="5">
        <v>2</v>
      </c>
      <c r="B242" s="5">
        <v>2</v>
      </c>
      <c r="C242" s="53" t="s">
        <v>160</v>
      </c>
      <c r="D242" s="12" t="s">
        <v>241</v>
      </c>
      <c r="E242" s="54">
        <f>E243</f>
        <v>1000000</v>
      </c>
      <c r="F242" s="5" t="s">
        <v>3</v>
      </c>
      <c r="G242" t="s">
        <v>3</v>
      </c>
    </row>
    <row r="243" spans="1:7" x14ac:dyDescent="0.25">
      <c r="A243" s="5"/>
      <c r="B243" s="5"/>
      <c r="C243" s="53"/>
      <c r="D243" s="98" t="s">
        <v>208</v>
      </c>
      <c r="E243" s="50">
        <v>1000000</v>
      </c>
      <c r="F243" s="42" t="s">
        <v>3</v>
      </c>
      <c r="G243" t="s">
        <v>3</v>
      </c>
    </row>
    <row r="244" spans="1:7" s="185" customFormat="1" ht="30" x14ac:dyDescent="0.25">
      <c r="A244" s="3">
        <v>2</v>
      </c>
      <c r="B244" s="3">
        <v>2</v>
      </c>
      <c r="C244" s="34" t="s">
        <v>196</v>
      </c>
      <c r="D244" s="2" t="s">
        <v>242</v>
      </c>
      <c r="E244" s="35">
        <f>E245+E249</f>
        <v>40500000</v>
      </c>
      <c r="F244" s="3" t="s">
        <v>3</v>
      </c>
      <c r="G244" t="s">
        <v>3</v>
      </c>
    </row>
    <row r="245" spans="1:7" x14ac:dyDescent="0.25">
      <c r="A245" s="3"/>
      <c r="B245" s="3"/>
      <c r="C245" s="34"/>
      <c r="D245" s="43" t="s">
        <v>243</v>
      </c>
      <c r="E245" s="37">
        <f>SUM(E246:E248)</f>
        <v>19000000</v>
      </c>
      <c r="F245" s="36" t="s">
        <v>3</v>
      </c>
      <c r="G245" t="s">
        <v>3</v>
      </c>
    </row>
    <row r="246" spans="1:7" x14ac:dyDescent="0.25">
      <c r="A246" s="3"/>
      <c r="B246" s="3"/>
      <c r="C246" s="34"/>
      <c r="D246" s="98" t="s">
        <v>412</v>
      </c>
      <c r="E246" s="50">
        <v>5000000</v>
      </c>
      <c r="F246" s="42"/>
    </row>
    <row r="247" spans="1:7" x14ac:dyDescent="0.25">
      <c r="A247" s="3"/>
      <c r="B247" s="3"/>
      <c r="C247" s="34"/>
      <c r="D247" s="98" t="s">
        <v>411</v>
      </c>
      <c r="E247" s="51">
        <v>4000000</v>
      </c>
      <c r="F247" s="42"/>
    </row>
    <row r="248" spans="1:7" x14ac:dyDescent="0.25">
      <c r="A248" s="3"/>
      <c r="B248" s="3"/>
      <c r="C248" s="34"/>
      <c r="D248" s="225" t="s">
        <v>493</v>
      </c>
      <c r="E248" s="51">
        <v>10000000</v>
      </c>
      <c r="F248" s="42"/>
    </row>
    <row r="249" spans="1:7" x14ac:dyDescent="0.25">
      <c r="A249" s="5"/>
      <c r="B249" s="5"/>
      <c r="C249" s="53"/>
      <c r="D249" s="43" t="s">
        <v>485</v>
      </c>
      <c r="E249" s="212">
        <v>21500000</v>
      </c>
      <c r="F249" s="42" t="s">
        <v>3</v>
      </c>
      <c r="G249" t="s">
        <v>3</v>
      </c>
    </row>
    <row r="250" spans="1:7" x14ac:dyDescent="0.25">
      <c r="A250" s="8">
        <v>2</v>
      </c>
      <c r="B250" s="8">
        <v>3</v>
      </c>
      <c r="C250" s="8"/>
      <c r="D250" s="6" t="s">
        <v>244</v>
      </c>
      <c r="E250" s="57">
        <f>E251+E253+E254+E256+E257+E261+E263+E266+E269+E271</f>
        <v>140000000</v>
      </c>
      <c r="F250" s="8"/>
    </row>
    <row r="251" spans="1:7" s="185" customFormat="1" hidden="1" x14ac:dyDescent="0.25">
      <c r="A251" s="89">
        <v>2</v>
      </c>
      <c r="B251" s="89">
        <v>3</v>
      </c>
      <c r="C251" s="90" t="s">
        <v>85</v>
      </c>
      <c r="D251" s="17" t="s">
        <v>245</v>
      </c>
      <c r="E251" s="91">
        <f>E252</f>
        <v>0</v>
      </c>
      <c r="F251" s="89" t="s">
        <v>3</v>
      </c>
    </row>
    <row r="252" spans="1:7" ht="30" hidden="1" x14ac:dyDescent="0.25">
      <c r="A252" s="89"/>
      <c r="B252" s="89"/>
      <c r="C252" s="90"/>
      <c r="D252" s="103" t="s">
        <v>246</v>
      </c>
      <c r="E252" s="104"/>
      <c r="F252" s="105" t="s">
        <v>3</v>
      </c>
    </row>
    <row r="253" spans="1:7" hidden="1" x14ac:dyDescent="0.25">
      <c r="A253" s="5">
        <v>2</v>
      </c>
      <c r="B253" s="5">
        <v>3</v>
      </c>
      <c r="C253" s="53" t="s">
        <v>89</v>
      </c>
      <c r="D253" s="12" t="s">
        <v>247</v>
      </c>
      <c r="E253" s="54"/>
      <c r="F253" s="5"/>
    </row>
    <row r="254" spans="1:7" hidden="1" x14ac:dyDescent="0.25">
      <c r="A254" s="5">
        <v>2</v>
      </c>
      <c r="B254" s="5">
        <v>3</v>
      </c>
      <c r="C254" s="53" t="s">
        <v>98</v>
      </c>
      <c r="D254" s="12" t="s">
        <v>248</v>
      </c>
      <c r="E254" s="54">
        <f>SUM(E255)</f>
        <v>0</v>
      </c>
      <c r="F254" s="5" t="s">
        <v>3</v>
      </c>
    </row>
    <row r="255" spans="1:7" ht="30" hidden="1" x14ac:dyDescent="0.25">
      <c r="A255" s="5"/>
      <c r="B255" s="5"/>
      <c r="C255" s="53"/>
      <c r="D255" s="43" t="s">
        <v>249</v>
      </c>
      <c r="E255" s="37">
        <v>0</v>
      </c>
      <c r="F255" s="5"/>
    </row>
    <row r="256" spans="1:7" hidden="1" x14ac:dyDescent="0.25">
      <c r="A256" s="5">
        <v>2</v>
      </c>
      <c r="B256" s="5">
        <v>3</v>
      </c>
      <c r="C256" s="53" t="s">
        <v>122</v>
      </c>
      <c r="D256" s="12" t="s">
        <v>250</v>
      </c>
      <c r="E256" s="54"/>
      <c r="F256" s="5"/>
    </row>
    <row r="257" spans="1:6" ht="30" hidden="1" x14ac:dyDescent="0.25">
      <c r="A257" s="3">
        <v>2</v>
      </c>
      <c r="B257" s="3">
        <v>3</v>
      </c>
      <c r="C257" s="34" t="s">
        <v>199</v>
      </c>
      <c r="D257" s="2" t="s">
        <v>251</v>
      </c>
      <c r="E257" s="35">
        <f>SUM(E258:E260)</f>
        <v>0</v>
      </c>
      <c r="F257" s="3" t="s">
        <v>3</v>
      </c>
    </row>
    <row r="258" spans="1:6" hidden="1" x14ac:dyDescent="0.25">
      <c r="A258" s="5"/>
      <c r="B258" s="5"/>
      <c r="C258" s="53"/>
      <c r="D258" s="43"/>
      <c r="E258" s="37"/>
      <c r="F258" s="5"/>
    </row>
    <row r="259" spans="1:6" hidden="1" x14ac:dyDescent="0.25">
      <c r="A259" s="5"/>
      <c r="B259" s="5"/>
      <c r="C259" s="53"/>
      <c r="D259" s="43"/>
      <c r="E259" s="37"/>
      <c r="F259" s="5"/>
    </row>
    <row r="260" spans="1:6" hidden="1" x14ac:dyDescent="0.25">
      <c r="A260" s="5"/>
      <c r="B260" s="5"/>
      <c r="C260" s="53"/>
      <c r="D260" s="71"/>
      <c r="E260" s="50"/>
      <c r="F260" s="5"/>
    </row>
    <row r="261" spans="1:6" ht="30" hidden="1" x14ac:dyDescent="0.25">
      <c r="A261" s="3">
        <v>2</v>
      </c>
      <c r="B261" s="3">
        <v>3</v>
      </c>
      <c r="C261" s="34" t="s">
        <v>163</v>
      </c>
      <c r="D261" s="2" t="s">
        <v>252</v>
      </c>
      <c r="E261" s="35">
        <f>SUM(E262:E262)</f>
        <v>0</v>
      </c>
      <c r="F261" s="3" t="s">
        <v>3</v>
      </c>
    </row>
    <row r="262" spans="1:6" hidden="1" x14ac:dyDescent="0.25">
      <c r="A262" s="3"/>
      <c r="B262" s="3"/>
      <c r="C262" s="34"/>
      <c r="D262" s="43" t="s">
        <v>253</v>
      </c>
      <c r="E262" s="37">
        <v>0</v>
      </c>
      <c r="F262" s="5"/>
    </row>
    <row r="263" spans="1:6" ht="30" x14ac:dyDescent="0.25">
      <c r="A263" s="3">
        <v>2</v>
      </c>
      <c r="B263" s="3">
        <v>3</v>
      </c>
      <c r="C263" s="34" t="s">
        <v>254</v>
      </c>
      <c r="D263" s="2" t="s">
        <v>255</v>
      </c>
      <c r="E263" s="35">
        <f>SUM(E264:E265)</f>
        <v>140000000</v>
      </c>
      <c r="F263" s="3" t="s">
        <v>3</v>
      </c>
    </row>
    <row r="264" spans="1:6" hidden="1" x14ac:dyDescent="0.25">
      <c r="A264" s="5"/>
      <c r="B264" s="5"/>
      <c r="C264" s="53"/>
      <c r="D264" s="71" t="s">
        <v>256</v>
      </c>
      <c r="E264" s="50">
        <v>0</v>
      </c>
      <c r="F264" s="42"/>
    </row>
    <row r="265" spans="1:6" ht="30" x14ac:dyDescent="0.25">
      <c r="A265" s="5"/>
      <c r="B265" s="5"/>
      <c r="C265" s="53"/>
      <c r="D265" s="43" t="s">
        <v>415</v>
      </c>
      <c r="E265" s="37">
        <v>140000000</v>
      </c>
      <c r="F265" s="5"/>
    </row>
    <row r="266" spans="1:6" ht="45" hidden="1" x14ac:dyDescent="0.25">
      <c r="A266" s="3">
        <v>2</v>
      </c>
      <c r="B266" s="3">
        <v>3</v>
      </c>
      <c r="C266" s="34" t="s">
        <v>257</v>
      </c>
      <c r="D266" s="2" t="s">
        <v>258</v>
      </c>
      <c r="E266" s="35">
        <f>SUM(E267:E268)</f>
        <v>0</v>
      </c>
      <c r="F266" s="3" t="s">
        <v>6</v>
      </c>
    </row>
    <row r="267" spans="1:6" ht="30" hidden="1" x14ac:dyDescent="0.25">
      <c r="A267" s="3"/>
      <c r="B267" s="3"/>
      <c r="C267" s="34"/>
      <c r="D267" s="43" t="s">
        <v>259</v>
      </c>
      <c r="E267" s="37">
        <v>0</v>
      </c>
      <c r="F267" s="3"/>
    </row>
    <row r="268" spans="1:6" hidden="1" x14ac:dyDescent="0.25">
      <c r="A268" s="5"/>
      <c r="B268" s="5"/>
      <c r="C268" s="53"/>
      <c r="D268" s="71" t="s">
        <v>260</v>
      </c>
      <c r="E268" s="50">
        <v>0</v>
      </c>
      <c r="F268" s="5"/>
    </row>
    <row r="269" spans="1:6" ht="30" hidden="1" x14ac:dyDescent="0.25">
      <c r="A269" s="3">
        <v>2</v>
      </c>
      <c r="B269" s="3">
        <v>3</v>
      </c>
      <c r="C269" s="34" t="s">
        <v>261</v>
      </c>
      <c r="D269" s="2" t="s">
        <v>262</v>
      </c>
      <c r="E269" s="35">
        <f>E270</f>
        <v>0</v>
      </c>
      <c r="F269" s="3" t="s">
        <v>3</v>
      </c>
    </row>
    <row r="270" spans="1:6" ht="30" hidden="1" x14ac:dyDescent="0.25">
      <c r="A270" s="3"/>
      <c r="B270" s="3"/>
      <c r="C270" s="34"/>
      <c r="D270" s="43" t="s">
        <v>263</v>
      </c>
      <c r="E270" s="37">
        <v>0</v>
      </c>
      <c r="F270" s="3"/>
    </row>
    <row r="271" spans="1:6" ht="30" hidden="1" x14ac:dyDescent="0.25">
      <c r="A271" s="3">
        <v>2</v>
      </c>
      <c r="B271" s="3">
        <v>3</v>
      </c>
      <c r="C271" s="34" t="s">
        <v>264</v>
      </c>
      <c r="D271" s="2" t="s">
        <v>265</v>
      </c>
      <c r="E271" s="35">
        <f>SUM(E272:E272)</f>
        <v>0</v>
      </c>
      <c r="F271" s="3" t="s">
        <v>3</v>
      </c>
    </row>
    <row r="272" spans="1:6" hidden="1" x14ac:dyDescent="0.25">
      <c r="A272" s="3"/>
      <c r="B272" s="3"/>
      <c r="C272" s="34"/>
      <c r="D272" s="43" t="s">
        <v>266</v>
      </c>
      <c r="E272" s="40">
        <v>0</v>
      </c>
      <c r="F272" s="3"/>
    </row>
    <row r="273" spans="1:8" x14ac:dyDescent="0.25">
      <c r="A273" s="8">
        <v>2</v>
      </c>
      <c r="B273" s="8">
        <v>4</v>
      </c>
      <c r="C273" s="8"/>
      <c r="D273" s="6" t="s">
        <v>267</v>
      </c>
      <c r="E273" s="57">
        <f>E274+E277+E279+E286+E288+E291+E294+E296</f>
        <v>399500000</v>
      </c>
      <c r="F273" s="8"/>
    </row>
    <row r="274" spans="1:8" ht="30" x14ac:dyDescent="0.25">
      <c r="A274" s="3">
        <v>2</v>
      </c>
      <c r="B274" s="3">
        <v>4</v>
      </c>
      <c r="C274" s="34" t="s">
        <v>85</v>
      </c>
      <c r="D274" s="2" t="s">
        <v>268</v>
      </c>
      <c r="E274" s="35">
        <f>SUM(E275:E276)</f>
        <v>257500000</v>
      </c>
      <c r="F274" s="3" t="s">
        <v>3</v>
      </c>
    </row>
    <row r="275" spans="1:8" ht="30" x14ac:dyDescent="0.25">
      <c r="A275" s="5"/>
      <c r="B275" s="3"/>
      <c r="C275" s="34"/>
      <c r="D275" s="43" t="s">
        <v>494</v>
      </c>
      <c r="E275" s="40">
        <v>100000000</v>
      </c>
      <c r="F275" s="36" t="s">
        <v>3</v>
      </c>
      <c r="H275">
        <f>35*4500000</f>
        <v>157500000</v>
      </c>
    </row>
    <row r="276" spans="1:8" x14ac:dyDescent="0.25">
      <c r="A276" s="5"/>
      <c r="B276" s="3"/>
      <c r="C276" s="34"/>
      <c r="D276" s="43" t="s">
        <v>484</v>
      </c>
      <c r="E276" s="212">
        <v>157500000</v>
      </c>
      <c r="F276" s="36" t="s">
        <v>3</v>
      </c>
      <c r="H276" s="173">
        <f>E276/35</f>
        <v>4500000</v>
      </c>
    </row>
    <row r="277" spans="1:8" hidden="1" x14ac:dyDescent="0.25">
      <c r="A277" s="3">
        <v>2</v>
      </c>
      <c r="B277" s="3">
        <v>4</v>
      </c>
      <c r="C277" s="34" t="s">
        <v>98</v>
      </c>
      <c r="D277" s="2" t="s">
        <v>270</v>
      </c>
      <c r="E277" s="35">
        <f>SUM(E278:E278)</f>
        <v>0</v>
      </c>
      <c r="F277" s="3" t="s">
        <v>3</v>
      </c>
    </row>
    <row r="278" spans="1:8" hidden="1" x14ac:dyDescent="0.25">
      <c r="A278" s="5"/>
      <c r="B278" s="3"/>
      <c r="C278" s="34"/>
      <c r="D278" s="43" t="s">
        <v>271</v>
      </c>
      <c r="E278" s="37">
        <v>0</v>
      </c>
      <c r="F278" s="3"/>
    </row>
    <row r="279" spans="1:8" s="185" customFormat="1" x14ac:dyDescent="0.25">
      <c r="A279" s="3">
        <v>2</v>
      </c>
      <c r="B279" s="3">
        <v>4</v>
      </c>
      <c r="C279" s="34" t="s">
        <v>159</v>
      </c>
      <c r="D279" s="2" t="s">
        <v>272</v>
      </c>
      <c r="E279" s="35">
        <f>SUM(E280:E285)</f>
        <v>92000000</v>
      </c>
      <c r="F279" s="3" t="s">
        <v>3</v>
      </c>
    </row>
    <row r="280" spans="1:8" x14ac:dyDescent="0.25">
      <c r="A280" s="5"/>
      <c r="B280" s="5"/>
      <c r="C280" s="53"/>
      <c r="D280" s="207" t="s">
        <v>487</v>
      </c>
      <c r="E280" s="40">
        <v>72000000</v>
      </c>
      <c r="F280" s="3"/>
      <c r="H280">
        <f>1000000*6*12</f>
        <v>72000000</v>
      </c>
    </row>
    <row r="281" spans="1:8" hidden="1" x14ac:dyDescent="0.25">
      <c r="A281" s="5"/>
      <c r="B281" s="5"/>
      <c r="C281" s="53"/>
      <c r="D281" s="71" t="s">
        <v>274</v>
      </c>
      <c r="E281" s="50">
        <v>0</v>
      </c>
      <c r="F281" s="46"/>
      <c r="H281">
        <f>37*4</f>
        <v>148</v>
      </c>
    </row>
    <row r="282" spans="1:8" hidden="1" x14ac:dyDescent="0.25">
      <c r="A282" s="5"/>
      <c r="B282" s="5"/>
      <c r="C282" s="53"/>
      <c r="D282" s="71" t="s">
        <v>275</v>
      </c>
      <c r="E282" s="50">
        <v>0</v>
      </c>
      <c r="F282" s="46"/>
      <c r="H282">
        <f>H281/2</f>
        <v>74</v>
      </c>
    </row>
    <row r="283" spans="1:8" hidden="1" x14ac:dyDescent="0.25">
      <c r="A283" s="5"/>
      <c r="B283" s="5"/>
      <c r="C283" s="53"/>
      <c r="D283" s="71" t="s">
        <v>276</v>
      </c>
      <c r="E283" s="50">
        <v>0</v>
      </c>
      <c r="F283" s="46"/>
    </row>
    <row r="284" spans="1:8" hidden="1" x14ac:dyDescent="0.25">
      <c r="A284" s="5"/>
      <c r="B284" s="5"/>
      <c r="C284" s="53"/>
      <c r="D284" s="71" t="s">
        <v>277</v>
      </c>
      <c r="E284" s="50">
        <v>0</v>
      </c>
      <c r="F284" s="46"/>
    </row>
    <row r="285" spans="1:8" x14ac:dyDescent="0.25">
      <c r="A285" s="3"/>
      <c r="B285" s="3"/>
      <c r="C285" s="34"/>
      <c r="D285" s="43" t="s">
        <v>416</v>
      </c>
      <c r="E285" s="40">
        <v>20000000</v>
      </c>
      <c r="F285" s="97"/>
    </row>
    <row r="286" spans="1:8" hidden="1" x14ac:dyDescent="0.25">
      <c r="A286" s="5">
        <v>2</v>
      </c>
      <c r="B286" s="5">
        <v>4</v>
      </c>
      <c r="C286" s="53" t="s">
        <v>160</v>
      </c>
      <c r="D286" s="12" t="s">
        <v>280</v>
      </c>
      <c r="E286" s="54">
        <f>SUM(E287:E287)</f>
        <v>0</v>
      </c>
      <c r="F286" s="5" t="s">
        <v>3</v>
      </c>
    </row>
    <row r="287" spans="1:8" hidden="1" x14ac:dyDescent="0.25">
      <c r="A287" s="5"/>
      <c r="B287" s="5"/>
      <c r="C287" s="53"/>
      <c r="D287" s="71" t="s">
        <v>281</v>
      </c>
      <c r="E287" s="50">
        <v>0</v>
      </c>
      <c r="F287" s="5"/>
    </row>
    <row r="288" spans="1:8" ht="30" hidden="1" x14ac:dyDescent="0.25">
      <c r="A288" s="3">
        <v>2</v>
      </c>
      <c r="B288" s="3">
        <v>4</v>
      </c>
      <c r="C288" s="34">
        <v>11</v>
      </c>
      <c r="D288" s="2" t="s">
        <v>282</v>
      </c>
      <c r="E288" s="35">
        <f>SUM(E289:E290)</f>
        <v>0</v>
      </c>
      <c r="F288" s="3" t="s">
        <v>3</v>
      </c>
    </row>
    <row r="289" spans="1:6" hidden="1" x14ac:dyDescent="0.25">
      <c r="A289" s="3"/>
      <c r="B289" s="3"/>
      <c r="C289" s="34"/>
      <c r="D289" s="71" t="s">
        <v>283</v>
      </c>
      <c r="E289" s="50">
        <v>0</v>
      </c>
      <c r="F289" s="42" t="s">
        <v>3</v>
      </c>
    </row>
    <row r="290" spans="1:6" hidden="1" x14ac:dyDescent="0.25">
      <c r="A290" s="3"/>
      <c r="B290" s="3"/>
      <c r="C290" s="34"/>
      <c r="D290" s="71" t="s">
        <v>283</v>
      </c>
      <c r="E290" s="50">
        <v>0</v>
      </c>
      <c r="F290" s="42" t="s">
        <v>4</v>
      </c>
    </row>
    <row r="291" spans="1:6" ht="30" x14ac:dyDescent="0.25">
      <c r="A291" s="3">
        <v>2</v>
      </c>
      <c r="B291" s="3">
        <v>4</v>
      </c>
      <c r="C291" s="106">
        <v>12</v>
      </c>
      <c r="D291" s="107" t="s">
        <v>284</v>
      </c>
      <c r="E291" s="35">
        <f>E292</f>
        <v>20000000</v>
      </c>
      <c r="F291" s="3" t="s">
        <v>3</v>
      </c>
    </row>
    <row r="292" spans="1:6" ht="18" customHeight="1" x14ac:dyDescent="0.25">
      <c r="A292" s="5"/>
      <c r="B292" s="5"/>
      <c r="C292" s="108"/>
      <c r="D292" s="43" t="s">
        <v>486</v>
      </c>
      <c r="E292" s="37">
        <v>20000000</v>
      </c>
      <c r="F292" s="92"/>
    </row>
    <row r="293" spans="1:6" hidden="1" x14ac:dyDescent="0.25">
      <c r="A293" s="3">
        <v>2</v>
      </c>
      <c r="B293" s="3">
        <v>4</v>
      </c>
      <c r="C293" s="34" t="s">
        <v>286</v>
      </c>
      <c r="D293" s="2" t="s">
        <v>287</v>
      </c>
      <c r="E293" s="109"/>
      <c r="F293" s="97"/>
    </row>
    <row r="294" spans="1:6" ht="30" x14ac:dyDescent="0.25">
      <c r="A294" s="3">
        <v>2</v>
      </c>
      <c r="B294" s="3">
        <v>4</v>
      </c>
      <c r="C294" s="34" t="s">
        <v>257</v>
      </c>
      <c r="D294" s="2" t="s">
        <v>288</v>
      </c>
      <c r="E294" s="35">
        <f>E295</f>
        <v>30000000</v>
      </c>
      <c r="F294" s="3" t="s">
        <v>3</v>
      </c>
    </row>
    <row r="295" spans="1:6" x14ac:dyDescent="0.25">
      <c r="A295" s="5"/>
      <c r="B295" s="5"/>
      <c r="C295" s="53"/>
      <c r="D295" s="43" t="s">
        <v>289</v>
      </c>
      <c r="E295" s="37">
        <v>30000000</v>
      </c>
      <c r="F295" s="42" t="s">
        <v>432</v>
      </c>
    </row>
    <row r="296" spans="1:6" s="185" customFormat="1" ht="30" hidden="1" x14ac:dyDescent="0.25">
      <c r="A296" s="3">
        <v>2</v>
      </c>
      <c r="B296" s="3">
        <v>4</v>
      </c>
      <c r="C296" s="34" t="s">
        <v>261</v>
      </c>
      <c r="D296" s="2" t="s">
        <v>290</v>
      </c>
      <c r="E296" s="35">
        <f>SUM(E297:E299)</f>
        <v>0</v>
      </c>
      <c r="F296" s="3" t="s">
        <v>3</v>
      </c>
    </row>
    <row r="297" spans="1:6" hidden="1" x14ac:dyDescent="0.25">
      <c r="A297" s="3"/>
      <c r="B297" s="3"/>
      <c r="C297" s="34"/>
      <c r="D297" s="43" t="s">
        <v>291</v>
      </c>
      <c r="E297" s="37"/>
      <c r="F297" s="36" t="s">
        <v>3</v>
      </c>
    </row>
    <row r="298" spans="1:6" hidden="1" x14ac:dyDescent="0.25">
      <c r="A298" s="5"/>
      <c r="B298" s="5"/>
      <c r="C298" s="53"/>
      <c r="D298" s="71" t="s">
        <v>278</v>
      </c>
      <c r="E298" s="50">
        <v>0</v>
      </c>
      <c r="F298" s="42"/>
    </row>
    <row r="299" spans="1:6" hidden="1" x14ac:dyDescent="0.25">
      <c r="A299" s="5"/>
      <c r="B299" s="5"/>
      <c r="C299" s="53"/>
      <c r="D299" s="71" t="s">
        <v>279</v>
      </c>
      <c r="E299" s="50">
        <v>0</v>
      </c>
      <c r="F299" s="42" t="s">
        <v>3</v>
      </c>
    </row>
    <row r="300" spans="1:6" hidden="1" x14ac:dyDescent="0.25">
      <c r="A300" s="5"/>
      <c r="B300" s="5"/>
      <c r="C300" s="53"/>
      <c r="D300" s="71"/>
      <c r="E300" s="64"/>
      <c r="F300" s="5"/>
    </row>
    <row r="301" spans="1:6" ht="30" hidden="1" x14ac:dyDescent="0.25">
      <c r="A301" s="3">
        <v>2</v>
      </c>
      <c r="B301" s="3">
        <v>4</v>
      </c>
      <c r="C301" s="34" t="s">
        <v>264</v>
      </c>
      <c r="D301" s="110" t="s">
        <v>292</v>
      </c>
      <c r="E301" s="45">
        <f>E302</f>
        <v>0</v>
      </c>
      <c r="F301" s="4" t="s">
        <v>3</v>
      </c>
    </row>
    <row r="302" spans="1:6" hidden="1" x14ac:dyDescent="0.25">
      <c r="A302" s="5"/>
      <c r="B302" s="5"/>
      <c r="C302" s="53"/>
      <c r="D302" s="111" t="s">
        <v>293</v>
      </c>
      <c r="E302" s="112"/>
      <c r="F302" s="113"/>
    </row>
    <row r="303" spans="1:6" hidden="1" x14ac:dyDescent="0.25">
      <c r="A303" s="5"/>
      <c r="B303" s="5"/>
      <c r="C303" s="53"/>
      <c r="D303" s="111"/>
      <c r="E303" s="112"/>
      <c r="F303" s="113"/>
    </row>
    <row r="304" spans="1:6" hidden="1" x14ac:dyDescent="0.25">
      <c r="A304" s="5"/>
      <c r="B304" s="5"/>
      <c r="C304" s="53"/>
      <c r="D304" s="111"/>
      <c r="E304" s="112"/>
      <c r="F304" s="113"/>
    </row>
    <row r="305" spans="1:6" hidden="1" x14ac:dyDescent="0.25">
      <c r="A305" s="10">
        <v>2</v>
      </c>
      <c r="B305" s="10">
        <v>5</v>
      </c>
      <c r="C305" s="10"/>
      <c r="D305" s="114" t="s">
        <v>294</v>
      </c>
      <c r="E305" s="206">
        <f>E306+E309</f>
        <v>0</v>
      </c>
      <c r="F305" s="10"/>
    </row>
    <row r="306" spans="1:6" s="185" customFormat="1" hidden="1" x14ac:dyDescent="0.25">
      <c r="A306" s="92">
        <v>2</v>
      </c>
      <c r="B306" s="5">
        <v>5</v>
      </c>
      <c r="C306" s="53" t="s">
        <v>89</v>
      </c>
      <c r="D306" s="5" t="s">
        <v>295</v>
      </c>
      <c r="E306" s="54">
        <f>SUM(E307:E308)</f>
        <v>0</v>
      </c>
      <c r="F306" s="5" t="s">
        <v>3</v>
      </c>
    </row>
    <row r="307" spans="1:6" hidden="1" x14ac:dyDescent="0.25">
      <c r="A307" s="92"/>
      <c r="B307" s="92"/>
      <c r="C307" s="116"/>
      <c r="D307" s="42" t="s">
        <v>296</v>
      </c>
      <c r="E307" s="50">
        <v>0</v>
      </c>
      <c r="F307" s="42" t="s">
        <v>3</v>
      </c>
    </row>
    <row r="308" spans="1:6" hidden="1" x14ac:dyDescent="0.25">
      <c r="A308" s="92"/>
      <c r="B308" s="92"/>
      <c r="C308" s="116"/>
      <c r="D308" s="42" t="s">
        <v>297</v>
      </c>
      <c r="E308" s="50"/>
      <c r="F308" s="42" t="s">
        <v>3</v>
      </c>
    </row>
    <row r="309" spans="1:6" s="185" customFormat="1" ht="30" hidden="1" x14ac:dyDescent="0.25">
      <c r="A309" s="5">
        <v>2</v>
      </c>
      <c r="B309" s="5">
        <v>5</v>
      </c>
      <c r="C309" s="53" t="s">
        <v>98</v>
      </c>
      <c r="D309" s="187" t="s">
        <v>298</v>
      </c>
      <c r="E309" s="35">
        <f>E310</f>
        <v>0</v>
      </c>
      <c r="F309" s="3" t="s">
        <v>3</v>
      </c>
    </row>
    <row r="310" spans="1:6" hidden="1" x14ac:dyDescent="0.25">
      <c r="A310" s="92"/>
      <c r="B310" s="92"/>
      <c r="C310" s="92"/>
      <c r="D310" s="71" t="s">
        <v>299</v>
      </c>
      <c r="E310" s="37"/>
      <c r="F310" s="36" t="s">
        <v>3</v>
      </c>
    </row>
    <row r="311" spans="1:6" hidden="1" x14ac:dyDescent="0.25">
      <c r="A311" s="92"/>
      <c r="B311" s="92"/>
      <c r="C311" s="92"/>
      <c r="D311" s="71"/>
      <c r="E311" s="50"/>
      <c r="F311" s="42"/>
    </row>
    <row r="312" spans="1:6" x14ac:dyDescent="0.25">
      <c r="A312" s="117">
        <v>2</v>
      </c>
      <c r="B312" s="117">
        <v>6</v>
      </c>
      <c r="C312" s="117"/>
      <c r="D312" s="13" t="s">
        <v>52</v>
      </c>
      <c r="E312" s="35">
        <f>E313+E317+E323</f>
        <v>26000000</v>
      </c>
      <c r="F312" s="69"/>
    </row>
    <row r="313" spans="1:6" hidden="1" x14ac:dyDescent="0.25">
      <c r="A313" s="5">
        <v>2</v>
      </c>
      <c r="B313" s="5">
        <v>6</v>
      </c>
      <c r="C313" s="53" t="s">
        <v>85</v>
      </c>
      <c r="D313" s="12" t="s">
        <v>300</v>
      </c>
      <c r="E313" s="54">
        <f>SUM(E314:E316)</f>
        <v>0</v>
      </c>
      <c r="F313" s="5" t="s">
        <v>3</v>
      </c>
    </row>
    <row r="314" spans="1:6" hidden="1" x14ac:dyDescent="0.25">
      <c r="A314" s="5"/>
      <c r="B314" s="5"/>
      <c r="C314" s="53"/>
      <c r="D314" s="71" t="s">
        <v>301</v>
      </c>
      <c r="E314" s="75"/>
      <c r="F314" s="46"/>
    </row>
    <row r="315" spans="1:6" hidden="1" x14ac:dyDescent="0.25">
      <c r="A315" s="5"/>
      <c r="B315" s="5"/>
      <c r="C315" s="53"/>
      <c r="D315" s="71" t="s">
        <v>302</v>
      </c>
      <c r="E315" s="75"/>
      <c r="F315" s="46"/>
    </row>
    <row r="316" spans="1:6" hidden="1" x14ac:dyDescent="0.25">
      <c r="A316" s="5"/>
      <c r="B316" s="5"/>
      <c r="C316" s="53"/>
      <c r="D316" s="71" t="s">
        <v>303</v>
      </c>
      <c r="E316" s="75"/>
      <c r="F316" s="46"/>
    </row>
    <row r="317" spans="1:6" ht="33.75" customHeight="1" x14ac:dyDescent="0.25">
      <c r="A317" s="3">
        <v>2</v>
      </c>
      <c r="B317" s="3">
        <v>6</v>
      </c>
      <c r="C317" s="34" t="s">
        <v>89</v>
      </c>
      <c r="D317" s="2" t="s">
        <v>53</v>
      </c>
      <c r="E317" s="35">
        <f>SUM(E318:E322)</f>
        <v>26000000</v>
      </c>
      <c r="F317" s="2" t="s">
        <v>304</v>
      </c>
    </row>
    <row r="318" spans="1:6" hidden="1" x14ac:dyDescent="0.25">
      <c r="A318" s="3"/>
      <c r="B318" s="3"/>
      <c r="C318" s="34"/>
      <c r="D318" s="42" t="s">
        <v>161</v>
      </c>
      <c r="E318" s="50">
        <v>0</v>
      </c>
      <c r="F318" s="2"/>
    </row>
    <row r="319" spans="1:6" x14ac:dyDescent="0.25">
      <c r="A319" s="3"/>
      <c r="B319" s="3"/>
      <c r="C319" s="34"/>
      <c r="D319" s="48" t="s">
        <v>162</v>
      </c>
      <c r="E319" s="49">
        <v>12000000</v>
      </c>
      <c r="F319" s="43" t="s">
        <v>3</v>
      </c>
    </row>
    <row r="320" spans="1:6" x14ac:dyDescent="0.25">
      <c r="A320" s="3"/>
      <c r="B320" s="3"/>
      <c r="C320" s="34"/>
      <c r="D320" s="48" t="s">
        <v>162</v>
      </c>
      <c r="E320" s="49">
        <v>12000000</v>
      </c>
      <c r="F320" s="43" t="s">
        <v>0</v>
      </c>
    </row>
    <row r="321" spans="1:6" x14ac:dyDescent="0.25">
      <c r="A321" s="3"/>
      <c r="B321" s="3"/>
      <c r="C321" s="34"/>
      <c r="D321" s="43" t="s">
        <v>305</v>
      </c>
      <c r="E321" s="37">
        <v>2000000</v>
      </c>
      <c r="F321" s="43" t="s">
        <v>0</v>
      </c>
    </row>
    <row r="322" spans="1:6" hidden="1" x14ac:dyDescent="0.25">
      <c r="A322" s="3"/>
      <c r="B322" s="3"/>
      <c r="C322" s="34"/>
      <c r="D322" s="103" t="s">
        <v>306</v>
      </c>
      <c r="E322" s="104">
        <v>0</v>
      </c>
      <c r="F322" s="119"/>
    </row>
    <row r="323" spans="1:6" ht="30" hidden="1" x14ac:dyDescent="0.25">
      <c r="A323" s="93">
        <v>2</v>
      </c>
      <c r="B323" s="93">
        <v>6</v>
      </c>
      <c r="C323" s="94" t="s">
        <v>98</v>
      </c>
      <c r="D323" s="95" t="s">
        <v>307</v>
      </c>
      <c r="E323" s="96">
        <f>SUM(E324:E325)</f>
        <v>0</v>
      </c>
      <c r="F323" s="95" t="s">
        <v>3</v>
      </c>
    </row>
    <row r="324" spans="1:6" hidden="1" x14ac:dyDescent="0.25">
      <c r="A324" s="3"/>
      <c r="B324" s="3"/>
      <c r="C324" s="34"/>
      <c r="D324" s="103" t="s">
        <v>308</v>
      </c>
      <c r="E324" s="104">
        <v>0</v>
      </c>
      <c r="F324" s="2"/>
    </row>
    <row r="325" spans="1:6" hidden="1" x14ac:dyDescent="0.25">
      <c r="A325" s="3"/>
      <c r="B325" s="3"/>
      <c r="C325" s="34"/>
      <c r="D325" s="103" t="s">
        <v>309</v>
      </c>
      <c r="E325" s="104"/>
      <c r="F325" s="119"/>
    </row>
    <row r="326" spans="1:6" hidden="1" x14ac:dyDescent="0.25">
      <c r="A326" s="10">
        <v>2</v>
      </c>
      <c r="B326" s="10">
        <v>7</v>
      </c>
      <c r="C326" s="10"/>
      <c r="D326" s="114" t="s">
        <v>310</v>
      </c>
      <c r="E326" s="115"/>
      <c r="F326" s="10"/>
    </row>
    <row r="327" spans="1:6" x14ac:dyDescent="0.25">
      <c r="A327" s="10">
        <v>2</v>
      </c>
      <c r="B327" s="10">
        <v>8</v>
      </c>
      <c r="C327" s="8"/>
      <c r="D327" s="114" t="s">
        <v>311</v>
      </c>
      <c r="E327" s="57">
        <f>E330</f>
        <v>5000000</v>
      </c>
      <c r="F327" s="8"/>
    </row>
    <row r="328" spans="1:6" hidden="1" x14ac:dyDescent="0.25">
      <c r="A328" s="3">
        <v>2</v>
      </c>
      <c r="B328" s="3">
        <v>8</v>
      </c>
      <c r="C328" s="34" t="s">
        <v>85</v>
      </c>
      <c r="D328" s="2" t="s">
        <v>312</v>
      </c>
      <c r="E328" s="35"/>
      <c r="F328" s="3"/>
    </row>
    <row r="329" spans="1:6" s="188" customFormat="1" ht="30" hidden="1" x14ac:dyDescent="0.25">
      <c r="A329" s="3">
        <v>2</v>
      </c>
      <c r="B329" s="3">
        <v>8</v>
      </c>
      <c r="C329" s="34" t="s">
        <v>89</v>
      </c>
      <c r="D329" s="2" t="s">
        <v>313</v>
      </c>
      <c r="E329" s="35"/>
      <c r="F329" s="3"/>
    </row>
    <row r="330" spans="1:6" s="185" customFormat="1" x14ac:dyDescent="0.25">
      <c r="A330" s="5">
        <v>2</v>
      </c>
      <c r="B330" s="5">
        <v>8</v>
      </c>
      <c r="C330" s="53" t="s">
        <v>98</v>
      </c>
      <c r="D330" s="17" t="s">
        <v>314</v>
      </c>
      <c r="E330" s="54">
        <f>SUM(E331:E333)</f>
        <v>5000000</v>
      </c>
      <c r="F330" s="5" t="s">
        <v>3</v>
      </c>
    </row>
    <row r="331" spans="1:6" x14ac:dyDescent="0.25">
      <c r="A331" s="5"/>
      <c r="B331" s="5"/>
      <c r="C331" s="53"/>
      <c r="D331" s="120" t="s">
        <v>499</v>
      </c>
      <c r="E331" s="49">
        <v>5000000</v>
      </c>
      <c r="F331" s="92" t="s">
        <v>3</v>
      </c>
    </row>
    <row r="332" spans="1:6" hidden="1" x14ac:dyDescent="0.25">
      <c r="A332" s="5"/>
      <c r="B332" s="5"/>
      <c r="C332" s="53"/>
      <c r="D332" s="120"/>
      <c r="E332" s="49"/>
      <c r="F332" s="92" t="s">
        <v>3</v>
      </c>
    </row>
    <row r="333" spans="1:6" hidden="1" x14ac:dyDescent="0.25">
      <c r="A333" s="5"/>
      <c r="B333" s="5"/>
      <c r="C333" s="53"/>
      <c r="D333" s="120"/>
      <c r="E333" s="49">
        <v>0</v>
      </c>
      <c r="F333" s="92" t="s">
        <v>316</v>
      </c>
    </row>
    <row r="334" spans="1:6" x14ac:dyDescent="0.25">
      <c r="A334" s="11">
        <v>3</v>
      </c>
      <c r="B334" s="11"/>
      <c r="C334" s="11"/>
      <c r="D334" s="14" t="s">
        <v>54</v>
      </c>
      <c r="E334" s="88">
        <f>E335+E354+E372+E384</f>
        <v>93588500</v>
      </c>
      <c r="F334" s="11"/>
    </row>
    <row r="335" spans="1:6" ht="30" x14ac:dyDescent="0.25">
      <c r="A335" s="119">
        <v>3</v>
      </c>
      <c r="B335" s="121">
        <v>1</v>
      </c>
      <c r="C335" s="121"/>
      <c r="D335" s="15" t="s">
        <v>55</v>
      </c>
      <c r="E335" s="122">
        <f>E336+E345+E350</f>
        <v>32088500</v>
      </c>
      <c r="F335" s="121"/>
    </row>
    <row r="336" spans="1:6" ht="15.75" customHeight="1" x14ac:dyDescent="0.25">
      <c r="A336" s="5">
        <v>3</v>
      </c>
      <c r="B336" s="5">
        <v>1</v>
      </c>
      <c r="C336" s="53" t="s">
        <v>85</v>
      </c>
      <c r="D336" s="12" t="s">
        <v>60</v>
      </c>
      <c r="E336" s="54">
        <f>E337+E340</f>
        <v>32088500</v>
      </c>
      <c r="F336" s="5" t="s">
        <v>1</v>
      </c>
    </row>
    <row r="337" spans="1:9" ht="18" hidden="1" customHeight="1" x14ac:dyDescent="0.25">
      <c r="A337" s="5"/>
      <c r="B337" s="5"/>
      <c r="C337" s="53"/>
      <c r="D337" s="72" t="s">
        <v>317</v>
      </c>
      <c r="E337" s="64">
        <f>SUM(E338:E339)</f>
        <v>0</v>
      </c>
      <c r="F337" s="63" t="s">
        <v>3</v>
      </c>
    </row>
    <row r="338" spans="1:9" hidden="1" x14ac:dyDescent="0.25">
      <c r="A338" s="5"/>
      <c r="B338" s="5"/>
      <c r="C338" s="53"/>
      <c r="D338" s="71" t="s">
        <v>318</v>
      </c>
      <c r="E338" s="51">
        <v>0</v>
      </c>
      <c r="F338" s="42" t="s">
        <v>3</v>
      </c>
    </row>
    <row r="339" spans="1:9" hidden="1" x14ac:dyDescent="0.25">
      <c r="A339" s="5"/>
      <c r="B339" s="5"/>
      <c r="C339" s="53"/>
      <c r="D339" s="71" t="s">
        <v>319</v>
      </c>
      <c r="E339" s="51">
        <v>0</v>
      </c>
      <c r="F339" s="42" t="s">
        <v>3</v>
      </c>
    </row>
    <row r="340" spans="1:9" ht="15.75" customHeight="1" x14ac:dyDescent="0.25">
      <c r="A340" s="5"/>
      <c r="B340" s="5"/>
      <c r="C340" s="53"/>
      <c r="D340" s="72" t="s">
        <v>320</v>
      </c>
      <c r="E340" s="64">
        <f>SUM(E341:E343)</f>
        <v>32088500</v>
      </c>
      <c r="F340" s="63" t="s">
        <v>1</v>
      </c>
    </row>
    <row r="341" spans="1:9" ht="15.75" customHeight="1" x14ac:dyDescent="0.25">
      <c r="A341" s="5"/>
      <c r="B341" s="5"/>
      <c r="C341" s="53"/>
      <c r="D341" s="71" t="s">
        <v>461</v>
      </c>
      <c r="E341" s="51">
        <v>20088500</v>
      </c>
      <c r="F341" s="42" t="s">
        <v>2</v>
      </c>
      <c r="H341">
        <f>16043900-225400</f>
        <v>15818500</v>
      </c>
      <c r="I341" s="173">
        <f>20000000-E341</f>
        <v>-88500</v>
      </c>
    </row>
    <row r="342" spans="1:9" ht="20.25" customHeight="1" x14ac:dyDescent="0.25">
      <c r="A342" s="3"/>
      <c r="B342" s="3"/>
      <c r="C342" s="34"/>
      <c r="D342" s="43" t="s">
        <v>321</v>
      </c>
      <c r="E342" s="37">
        <v>9000000</v>
      </c>
      <c r="F342" s="43" t="s">
        <v>1</v>
      </c>
      <c r="H342" s="173">
        <f>E341-255400</f>
        <v>19833100</v>
      </c>
    </row>
    <row r="343" spans="1:9" ht="17.25" customHeight="1" x14ac:dyDescent="0.25">
      <c r="A343" s="5"/>
      <c r="B343" s="5"/>
      <c r="C343" s="53"/>
      <c r="D343" s="71" t="s">
        <v>322</v>
      </c>
      <c r="E343" s="50">
        <v>3000000</v>
      </c>
      <c r="F343" s="48" t="s">
        <v>1</v>
      </c>
    </row>
    <row r="344" spans="1:9" hidden="1" x14ac:dyDescent="0.25">
      <c r="A344" s="5"/>
      <c r="B344" s="5"/>
      <c r="C344" s="53"/>
      <c r="D344" s="123"/>
      <c r="E344" s="75"/>
      <c r="F344" s="46"/>
    </row>
    <row r="345" spans="1:9" ht="30" hidden="1" x14ac:dyDescent="0.25">
      <c r="A345" s="5">
        <v>3</v>
      </c>
      <c r="B345" s="5">
        <v>1</v>
      </c>
      <c r="C345" s="53" t="s">
        <v>89</v>
      </c>
      <c r="D345" s="12" t="s">
        <v>323</v>
      </c>
      <c r="E345" s="75"/>
      <c r="F345" s="46"/>
    </row>
    <row r="346" spans="1:9" ht="30" hidden="1" x14ac:dyDescent="0.25">
      <c r="A346" s="5">
        <v>3</v>
      </c>
      <c r="B346" s="5">
        <v>1</v>
      </c>
      <c r="C346" s="53" t="s">
        <v>98</v>
      </c>
      <c r="D346" s="12" t="s">
        <v>324</v>
      </c>
      <c r="E346" s="75"/>
      <c r="F346" s="46"/>
    </row>
    <row r="347" spans="1:9" hidden="1" x14ac:dyDescent="0.25">
      <c r="A347" s="3">
        <v>3</v>
      </c>
      <c r="B347" s="3">
        <v>1</v>
      </c>
      <c r="C347" s="34" t="s">
        <v>109</v>
      </c>
      <c r="D347" s="2" t="s">
        <v>325</v>
      </c>
      <c r="E347" s="109"/>
      <c r="F347" s="97"/>
    </row>
    <row r="348" spans="1:9" hidden="1" x14ac:dyDescent="0.25">
      <c r="A348" s="5">
        <v>3</v>
      </c>
      <c r="B348" s="5">
        <v>1</v>
      </c>
      <c r="C348" s="53" t="s">
        <v>122</v>
      </c>
      <c r="D348" s="12" t="s">
        <v>326</v>
      </c>
      <c r="E348" s="75"/>
      <c r="F348" s="46"/>
    </row>
    <row r="349" spans="1:9" hidden="1" x14ac:dyDescent="0.25">
      <c r="A349" s="5">
        <v>3</v>
      </c>
      <c r="B349" s="5">
        <v>1</v>
      </c>
      <c r="C349" s="53" t="s">
        <v>125</v>
      </c>
      <c r="D349" s="12" t="s">
        <v>327</v>
      </c>
      <c r="E349" s="75"/>
      <c r="F349" s="46"/>
    </row>
    <row r="350" spans="1:9" ht="30" hidden="1" x14ac:dyDescent="0.25">
      <c r="A350" s="5">
        <v>3</v>
      </c>
      <c r="B350" s="5">
        <v>1</v>
      </c>
      <c r="C350" s="53" t="s">
        <v>159</v>
      </c>
      <c r="D350" s="12" t="s">
        <v>328</v>
      </c>
      <c r="E350" s="75">
        <f>SUM(E351:E353)</f>
        <v>0</v>
      </c>
      <c r="F350" s="46"/>
    </row>
    <row r="351" spans="1:9" hidden="1" x14ac:dyDescent="0.25">
      <c r="A351" s="5"/>
      <c r="B351" s="5"/>
      <c r="C351" s="53"/>
      <c r="D351" s="12"/>
      <c r="E351" s="75"/>
      <c r="F351" s="46"/>
    </row>
    <row r="352" spans="1:9" hidden="1" x14ac:dyDescent="0.25">
      <c r="A352" s="5"/>
      <c r="B352" s="5"/>
      <c r="C352" s="53"/>
      <c r="D352" s="12"/>
      <c r="E352" s="75"/>
      <c r="F352" s="46"/>
    </row>
    <row r="353" spans="1:6" hidden="1" x14ac:dyDescent="0.25">
      <c r="A353" s="5"/>
      <c r="B353" s="5"/>
      <c r="C353" s="53"/>
      <c r="D353" s="12"/>
      <c r="E353" s="75"/>
      <c r="F353" s="46"/>
    </row>
    <row r="354" spans="1:6" x14ac:dyDescent="0.25">
      <c r="A354" s="121">
        <v>3</v>
      </c>
      <c r="B354" s="121">
        <v>2</v>
      </c>
      <c r="C354" s="121"/>
      <c r="D354" s="15" t="s">
        <v>56</v>
      </c>
      <c r="E354" s="122">
        <f>E355+E357+E360</f>
        <v>22000000</v>
      </c>
      <c r="F354" s="15"/>
    </row>
    <row r="355" spans="1:6" x14ac:dyDescent="0.25">
      <c r="A355" s="3">
        <v>3</v>
      </c>
      <c r="B355" s="3">
        <v>2</v>
      </c>
      <c r="C355" s="34" t="s">
        <v>85</v>
      </c>
      <c r="D355" s="2" t="s">
        <v>57</v>
      </c>
      <c r="E355" s="35">
        <f>SUM(E356:E356)</f>
        <v>10000000</v>
      </c>
      <c r="F355" s="3" t="s">
        <v>1</v>
      </c>
    </row>
    <row r="356" spans="1:6" ht="13.5" customHeight="1" x14ac:dyDescent="0.25">
      <c r="A356" s="3"/>
      <c r="B356" s="3"/>
      <c r="C356" s="34"/>
      <c r="D356" s="43" t="s">
        <v>329</v>
      </c>
      <c r="E356" s="37">
        <v>10000000</v>
      </c>
      <c r="F356" s="36" t="s">
        <v>1</v>
      </c>
    </row>
    <row r="357" spans="1:6" ht="29.25" customHeight="1" x14ac:dyDescent="0.25">
      <c r="A357" s="3">
        <v>3</v>
      </c>
      <c r="B357" s="3">
        <v>2</v>
      </c>
      <c r="C357" s="34" t="s">
        <v>89</v>
      </c>
      <c r="D357" s="2" t="s">
        <v>58</v>
      </c>
      <c r="E357" s="35">
        <f>SUM(E358:E359)</f>
        <v>7000000</v>
      </c>
      <c r="F357" s="3" t="s">
        <v>330</v>
      </c>
    </row>
    <row r="358" spans="1:6" x14ac:dyDescent="0.25">
      <c r="A358" s="3"/>
      <c r="B358" s="3"/>
      <c r="C358" s="34"/>
      <c r="D358" s="103" t="s">
        <v>331</v>
      </c>
      <c r="E358" s="104">
        <v>2000000</v>
      </c>
      <c r="F358" s="105" t="s">
        <v>1</v>
      </c>
    </row>
    <row r="359" spans="1:6" ht="19.5" customHeight="1" x14ac:dyDescent="0.25">
      <c r="A359" s="3"/>
      <c r="B359" s="3"/>
      <c r="C359" s="34"/>
      <c r="D359" s="103" t="s">
        <v>332</v>
      </c>
      <c r="E359" s="104">
        <v>5000000</v>
      </c>
      <c r="F359" s="105" t="s">
        <v>2</v>
      </c>
    </row>
    <row r="360" spans="1:6" ht="29.25" customHeight="1" x14ac:dyDescent="0.25">
      <c r="A360" s="3">
        <v>3</v>
      </c>
      <c r="B360" s="3">
        <v>2</v>
      </c>
      <c r="C360" s="34" t="s">
        <v>98</v>
      </c>
      <c r="D360" s="2" t="s">
        <v>59</v>
      </c>
      <c r="E360" s="35">
        <f>E361+E362</f>
        <v>5000000</v>
      </c>
      <c r="F360" s="3" t="s">
        <v>2</v>
      </c>
    </row>
    <row r="361" spans="1:6" x14ac:dyDescent="0.25">
      <c r="A361" s="3"/>
      <c r="B361" s="3"/>
      <c r="C361" s="34"/>
      <c r="D361" s="43" t="s">
        <v>333</v>
      </c>
      <c r="E361" s="109">
        <v>3500000</v>
      </c>
      <c r="F361" s="36" t="s">
        <v>2</v>
      </c>
    </row>
    <row r="362" spans="1:6" ht="18.75" customHeight="1" x14ac:dyDescent="0.25">
      <c r="A362" s="3"/>
      <c r="B362" s="3"/>
      <c r="C362" s="34"/>
      <c r="D362" s="43" t="s">
        <v>333</v>
      </c>
      <c r="E362" s="109">
        <v>1500000</v>
      </c>
      <c r="F362" s="36" t="s">
        <v>429</v>
      </c>
    </row>
    <row r="363" spans="1:6" hidden="1" x14ac:dyDescent="0.25">
      <c r="A363" s="3"/>
      <c r="B363" s="3"/>
      <c r="C363" s="34"/>
      <c r="D363" s="2"/>
      <c r="E363" s="109"/>
      <c r="F363" s="97"/>
    </row>
    <row r="364" spans="1:6" ht="30" hidden="1" x14ac:dyDescent="0.25">
      <c r="A364" s="5">
        <v>3</v>
      </c>
      <c r="B364" s="5">
        <v>2</v>
      </c>
      <c r="C364" s="53" t="s">
        <v>122</v>
      </c>
      <c r="D364" s="12" t="s">
        <v>334</v>
      </c>
      <c r="E364" s="75"/>
      <c r="F364" s="46"/>
    </row>
    <row r="365" spans="1:6" ht="45" hidden="1" x14ac:dyDescent="0.25">
      <c r="A365" s="5">
        <v>3</v>
      </c>
      <c r="B365" s="5">
        <v>2</v>
      </c>
      <c r="C365" s="53" t="s">
        <v>98</v>
      </c>
      <c r="D365" s="12" t="s">
        <v>335</v>
      </c>
      <c r="E365" s="75"/>
      <c r="F365" s="46"/>
    </row>
    <row r="366" spans="1:6" hidden="1" x14ac:dyDescent="0.25">
      <c r="A366" s="5"/>
      <c r="B366" s="5"/>
      <c r="C366" s="53"/>
      <c r="D366" s="4" t="s">
        <v>336</v>
      </c>
      <c r="E366" s="124">
        <v>0</v>
      </c>
      <c r="F366" s="46" t="s">
        <v>4</v>
      </c>
    </row>
    <row r="367" spans="1:6" hidden="1" x14ac:dyDescent="0.25">
      <c r="A367" s="5"/>
      <c r="B367" s="5"/>
      <c r="C367" s="53"/>
      <c r="D367" s="4" t="s">
        <v>337</v>
      </c>
      <c r="E367" s="124">
        <v>0</v>
      </c>
      <c r="F367" s="46" t="s">
        <v>338</v>
      </c>
    </row>
    <row r="368" spans="1:6" hidden="1" x14ac:dyDescent="0.25">
      <c r="A368" s="5"/>
      <c r="B368" s="5"/>
      <c r="C368" s="53"/>
      <c r="D368" s="4" t="s">
        <v>339</v>
      </c>
      <c r="E368" s="124">
        <v>0</v>
      </c>
      <c r="F368" s="46" t="s">
        <v>4</v>
      </c>
    </row>
    <row r="369" spans="1:6" ht="30" hidden="1" x14ac:dyDescent="0.25">
      <c r="A369" s="3">
        <v>3</v>
      </c>
      <c r="B369" s="3">
        <v>2</v>
      </c>
      <c r="C369" s="34" t="s">
        <v>122</v>
      </c>
      <c r="D369" s="2" t="s">
        <v>340</v>
      </c>
      <c r="E369" s="109">
        <v>0</v>
      </c>
      <c r="F369" s="97" t="s">
        <v>4</v>
      </c>
    </row>
    <row r="370" spans="1:6" hidden="1" x14ac:dyDescent="0.25">
      <c r="A370" s="5"/>
      <c r="B370" s="5"/>
      <c r="C370" s="53"/>
      <c r="D370" s="17" t="s">
        <v>341</v>
      </c>
      <c r="E370" s="124">
        <v>0</v>
      </c>
      <c r="F370" s="46" t="s">
        <v>4</v>
      </c>
    </row>
    <row r="371" spans="1:6" hidden="1" x14ac:dyDescent="0.25">
      <c r="A371" s="5"/>
      <c r="B371" s="5"/>
      <c r="C371" s="53"/>
      <c r="D371" s="2" t="s">
        <v>342</v>
      </c>
      <c r="E371" s="109">
        <v>0</v>
      </c>
      <c r="F371" s="97" t="s">
        <v>4</v>
      </c>
    </row>
    <row r="372" spans="1:6" x14ac:dyDescent="0.25">
      <c r="A372" s="125">
        <v>3</v>
      </c>
      <c r="B372" s="125">
        <v>3</v>
      </c>
      <c r="C372" s="125"/>
      <c r="D372" s="16" t="s">
        <v>61</v>
      </c>
      <c r="E372" s="126">
        <f>E373+E377+E378+E379+E380+E382</f>
        <v>12500000</v>
      </c>
      <c r="F372" s="125"/>
    </row>
    <row r="373" spans="1:6" ht="30" customHeight="1" x14ac:dyDescent="0.25">
      <c r="A373" s="3">
        <v>3</v>
      </c>
      <c r="B373" s="3">
        <v>3</v>
      </c>
      <c r="C373" s="34" t="s">
        <v>85</v>
      </c>
      <c r="D373" s="2" t="s">
        <v>62</v>
      </c>
      <c r="E373" s="35">
        <f>SUM(E374:E376)</f>
        <v>12500000</v>
      </c>
      <c r="F373" s="3" t="s">
        <v>2</v>
      </c>
    </row>
    <row r="374" spans="1:6" ht="18.75" customHeight="1" x14ac:dyDescent="0.25">
      <c r="A374" s="3"/>
      <c r="B374" s="3"/>
      <c r="C374" s="34"/>
      <c r="D374" s="43" t="s">
        <v>343</v>
      </c>
      <c r="E374" s="37">
        <v>2500000</v>
      </c>
      <c r="F374" s="36" t="s">
        <v>429</v>
      </c>
    </row>
    <row r="375" spans="1:6" ht="14.25" customHeight="1" x14ac:dyDescent="0.25">
      <c r="A375" s="3"/>
      <c r="B375" s="3"/>
      <c r="C375" s="34"/>
      <c r="D375" s="43" t="s">
        <v>344</v>
      </c>
      <c r="E375" s="37">
        <v>5000000</v>
      </c>
      <c r="F375" s="36" t="s">
        <v>2</v>
      </c>
    </row>
    <row r="376" spans="1:6" ht="18" customHeight="1" x14ac:dyDescent="0.25">
      <c r="A376" s="3"/>
      <c r="B376" s="3"/>
      <c r="C376" s="34"/>
      <c r="D376" s="43" t="s">
        <v>414</v>
      </c>
      <c r="E376" s="37">
        <v>5000000</v>
      </c>
      <c r="F376" s="36" t="s">
        <v>2</v>
      </c>
    </row>
    <row r="377" spans="1:6" hidden="1" x14ac:dyDescent="0.25">
      <c r="A377" s="5">
        <v>3</v>
      </c>
      <c r="B377" s="5">
        <v>3</v>
      </c>
      <c r="C377" s="53" t="s">
        <v>89</v>
      </c>
      <c r="D377" s="12" t="s">
        <v>345</v>
      </c>
      <c r="E377" s="75"/>
      <c r="F377" s="46"/>
    </row>
    <row r="378" spans="1:6" ht="30" hidden="1" x14ac:dyDescent="0.25">
      <c r="A378" s="5">
        <v>3</v>
      </c>
      <c r="B378" s="5">
        <v>3</v>
      </c>
      <c r="C378" s="53" t="s">
        <v>98</v>
      </c>
      <c r="D378" s="12" t="s">
        <v>346</v>
      </c>
      <c r="E378" s="75"/>
      <c r="F378" s="46"/>
    </row>
    <row r="379" spans="1:6" ht="30" hidden="1" x14ac:dyDescent="0.25">
      <c r="A379" s="5">
        <v>3</v>
      </c>
      <c r="B379" s="5">
        <v>3</v>
      </c>
      <c r="C379" s="53" t="s">
        <v>109</v>
      </c>
      <c r="D379" s="12" t="s">
        <v>347</v>
      </c>
      <c r="E379" s="75"/>
      <c r="F379" s="46"/>
    </row>
    <row r="380" spans="1:6" ht="30" hidden="1" x14ac:dyDescent="0.25">
      <c r="A380" s="3">
        <v>3</v>
      </c>
      <c r="B380" s="3">
        <v>3</v>
      </c>
      <c r="C380" s="34" t="s">
        <v>122</v>
      </c>
      <c r="D380" s="2" t="s">
        <v>348</v>
      </c>
      <c r="E380" s="35">
        <f>E381</f>
        <v>0</v>
      </c>
      <c r="F380" s="3" t="s">
        <v>1</v>
      </c>
    </row>
    <row r="381" spans="1:6" hidden="1" x14ac:dyDescent="0.25">
      <c r="A381" s="5"/>
      <c r="B381" s="5"/>
      <c r="C381" s="53"/>
      <c r="D381" s="71" t="s">
        <v>349</v>
      </c>
      <c r="E381" s="50">
        <v>0</v>
      </c>
      <c r="F381" s="42" t="s">
        <v>1</v>
      </c>
    </row>
    <row r="382" spans="1:6" hidden="1" x14ac:dyDescent="0.25">
      <c r="A382" s="3">
        <v>3</v>
      </c>
      <c r="B382" s="3">
        <v>3</v>
      </c>
      <c r="C382" s="34" t="s">
        <v>125</v>
      </c>
      <c r="D382" s="2" t="s">
        <v>350</v>
      </c>
      <c r="E382" s="35">
        <f>SUM(E383:E383)</f>
        <v>0</v>
      </c>
      <c r="F382" s="3" t="s">
        <v>1</v>
      </c>
    </row>
    <row r="383" spans="1:6" hidden="1" x14ac:dyDescent="0.25">
      <c r="A383" s="3"/>
      <c r="B383" s="3"/>
      <c r="C383" s="34"/>
      <c r="D383" s="43" t="s">
        <v>351</v>
      </c>
      <c r="E383" s="37">
        <v>0</v>
      </c>
      <c r="F383" s="36" t="s">
        <v>1</v>
      </c>
    </row>
    <row r="384" spans="1:6" x14ac:dyDescent="0.25">
      <c r="A384" s="125">
        <v>3</v>
      </c>
      <c r="B384" s="125">
        <v>4</v>
      </c>
      <c r="C384" s="125"/>
      <c r="D384" s="16" t="s">
        <v>63</v>
      </c>
      <c r="E384" s="126">
        <f>E385+E386+E389</f>
        <v>27000000</v>
      </c>
      <c r="F384" s="125"/>
    </row>
    <row r="385" spans="1:9" ht="16.5" hidden="1" customHeight="1" x14ac:dyDescent="0.25">
      <c r="A385" s="5">
        <v>3</v>
      </c>
      <c r="B385" s="5">
        <v>4</v>
      </c>
      <c r="C385" s="53" t="s">
        <v>85</v>
      </c>
      <c r="D385" s="12" t="s">
        <v>352</v>
      </c>
      <c r="E385" s="54"/>
      <c r="F385" s="46"/>
    </row>
    <row r="386" spans="1:9" s="188" customFormat="1" x14ac:dyDescent="0.25">
      <c r="A386" s="3">
        <v>3</v>
      </c>
      <c r="B386" s="3">
        <v>4</v>
      </c>
      <c r="C386" s="132" t="s">
        <v>89</v>
      </c>
      <c r="D386" s="2" t="s">
        <v>64</v>
      </c>
      <c r="E386" s="35">
        <f>SUM(E387:E388)</f>
        <v>10000000</v>
      </c>
      <c r="F386" s="3" t="s">
        <v>2</v>
      </c>
    </row>
    <row r="387" spans="1:9" ht="14.25" hidden="1" customHeight="1" x14ac:dyDescent="0.25">
      <c r="A387" s="5"/>
      <c r="B387" s="5"/>
      <c r="C387" s="47"/>
      <c r="D387" s="71" t="s">
        <v>353</v>
      </c>
      <c r="E387" s="50">
        <v>0</v>
      </c>
      <c r="F387" s="42" t="s">
        <v>0</v>
      </c>
    </row>
    <row r="388" spans="1:9" ht="11.25" customHeight="1" x14ac:dyDescent="0.25">
      <c r="A388" s="5"/>
      <c r="B388" s="5"/>
      <c r="C388" s="47"/>
      <c r="D388" s="71" t="s">
        <v>353</v>
      </c>
      <c r="E388" s="50">
        <v>10000000</v>
      </c>
      <c r="F388" s="42" t="s">
        <v>2</v>
      </c>
    </row>
    <row r="389" spans="1:9" x14ac:dyDescent="0.25">
      <c r="A389" s="5">
        <v>3</v>
      </c>
      <c r="B389" s="5">
        <v>4</v>
      </c>
      <c r="C389" s="53" t="s">
        <v>98</v>
      </c>
      <c r="D389" s="127" t="s">
        <v>65</v>
      </c>
      <c r="E389" s="54">
        <f>SUM(E390:E391)</f>
        <v>17000000</v>
      </c>
      <c r="F389" s="5"/>
    </row>
    <row r="390" spans="1:9" x14ac:dyDescent="0.25">
      <c r="A390" s="5"/>
      <c r="B390" s="5"/>
      <c r="C390" s="47"/>
      <c r="D390" s="71" t="s">
        <v>354</v>
      </c>
      <c r="E390" s="50">
        <v>17000000</v>
      </c>
      <c r="F390" s="42" t="s">
        <v>1</v>
      </c>
    </row>
    <row r="391" spans="1:9" hidden="1" x14ac:dyDescent="0.25">
      <c r="A391" s="5"/>
      <c r="B391" s="5"/>
      <c r="C391" s="47"/>
      <c r="D391" s="71"/>
      <c r="E391" s="50">
        <v>0</v>
      </c>
      <c r="F391" s="42" t="s">
        <v>6</v>
      </c>
    </row>
    <row r="392" spans="1:9" x14ac:dyDescent="0.25">
      <c r="A392" s="128">
        <v>4</v>
      </c>
      <c r="B392" s="129"/>
      <c r="C392" s="129"/>
      <c r="D392" s="14" t="s">
        <v>66</v>
      </c>
      <c r="E392" s="130">
        <f>E393+E398+E411+E416+E424+E431+E435</f>
        <v>130000000</v>
      </c>
      <c r="F392" s="129"/>
    </row>
    <row r="393" spans="1:9" hidden="1" x14ac:dyDescent="0.25">
      <c r="A393" s="125">
        <v>4</v>
      </c>
      <c r="B393" s="125">
        <v>1</v>
      </c>
      <c r="C393" s="125"/>
      <c r="D393" s="16" t="s">
        <v>355</v>
      </c>
      <c r="E393" s="126">
        <f>E394+E396</f>
        <v>0</v>
      </c>
      <c r="F393" s="125" t="s">
        <v>3</v>
      </c>
    </row>
    <row r="394" spans="1:9" hidden="1" x14ac:dyDescent="0.25">
      <c r="A394" s="5">
        <v>4</v>
      </c>
      <c r="B394" s="5">
        <v>1</v>
      </c>
      <c r="C394" s="53" t="s">
        <v>122</v>
      </c>
      <c r="D394" s="12" t="s">
        <v>356</v>
      </c>
      <c r="E394" s="75">
        <v>0</v>
      </c>
      <c r="F394" s="46"/>
    </row>
    <row r="395" spans="1:9" hidden="1" x14ac:dyDescent="0.25">
      <c r="A395" s="5"/>
      <c r="B395" s="5"/>
      <c r="C395" s="53"/>
      <c r="D395" s="12"/>
      <c r="E395" s="75"/>
      <c r="F395" s="46"/>
    </row>
    <row r="396" spans="1:9" ht="30" hidden="1" x14ac:dyDescent="0.25">
      <c r="A396" s="3">
        <v>4</v>
      </c>
      <c r="B396" s="3">
        <v>1</v>
      </c>
      <c r="C396" s="34" t="s">
        <v>125</v>
      </c>
      <c r="D396" s="2" t="s">
        <v>357</v>
      </c>
      <c r="E396" s="109">
        <f>SUM(E397:E397)</f>
        <v>0</v>
      </c>
      <c r="F396" s="97"/>
    </row>
    <row r="397" spans="1:9" hidden="1" x14ac:dyDescent="0.25">
      <c r="A397" s="5"/>
      <c r="B397" s="5"/>
      <c r="C397" s="53"/>
      <c r="D397" s="12"/>
      <c r="E397" s="75"/>
      <c r="F397" s="46"/>
    </row>
    <row r="398" spans="1:9" x14ac:dyDescent="0.25">
      <c r="A398" s="125">
        <v>4</v>
      </c>
      <c r="B398" s="125">
        <v>2</v>
      </c>
      <c r="C398" s="131"/>
      <c r="D398" s="16" t="s">
        <v>67</v>
      </c>
      <c r="E398" s="126">
        <f>E399+E401+E405+E407</f>
        <v>120000000</v>
      </c>
      <c r="F398" s="125" t="s">
        <v>3</v>
      </c>
    </row>
    <row r="399" spans="1:9" ht="30" x14ac:dyDescent="0.25">
      <c r="A399" s="3">
        <v>4</v>
      </c>
      <c r="B399" s="97">
        <v>2</v>
      </c>
      <c r="C399" s="132" t="s">
        <v>85</v>
      </c>
      <c r="D399" s="107" t="s">
        <v>358</v>
      </c>
      <c r="E399" s="35">
        <f>E400</f>
        <v>60000000</v>
      </c>
      <c r="F399" s="76" t="s">
        <v>3</v>
      </c>
    </row>
    <row r="400" spans="1:9" x14ac:dyDescent="0.25">
      <c r="A400" s="5"/>
      <c r="B400" s="46"/>
      <c r="C400" s="47"/>
      <c r="D400" s="222" t="s">
        <v>501</v>
      </c>
      <c r="E400" s="40">
        <v>60000000</v>
      </c>
      <c r="F400" s="36" t="s">
        <v>3</v>
      </c>
      <c r="H400" s="173">
        <f>E398+E263</f>
        <v>260000000</v>
      </c>
      <c r="I400" s="173">
        <f>H400/M5*100</f>
        <v>23.300977834496738</v>
      </c>
    </row>
    <row r="401" spans="1:9" ht="30" x14ac:dyDescent="0.25">
      <c r="A401" s="3">
        <v>4</v>
      </c>
      <c r="B401" s="3">
        <v>2</v>
      </c>
      <c r="C401" s="34" t="s">
        <v>89</v>
      </c>
      <c r="D401" s="2" t="s">
        <v>68</v>
      </c>
      <c r="E401" s="35">
        <f>E402</f>
        <v>60000000</v>
      </c>
      <c r="F401" s="76" t="s">
        <v>3</v>
      </c>
      <c r="H401" s="224">
        <f>M5*20%</f>
        <v>223166600</v>
      </c>
    </row>
    <row r="402" spans="1:9" x14ac:dyDescent="0.25">
      <c r="A402" s="3"/>
      <c r="B402" s="97"/>
      <c r="C402" s="132"/>
      <c r="D402" s="43" t="s">
        <v>465</v>
      </c>
      <c r="E402" s="51">
        <v>60000000</v>
      </c>
      <c r="F402" s="42" t="s">
        <v>3</v>
      </c>
      <c r="H402" s="173">
        <f>E402/5000000</f>
        <v>12</v>
      </c>
    </row>
    <row r="403" spans="1:9" hidden="1" x14ac:dyDescent="0.25">
      <c r="A403" s="133"/>
      <c r="B403" s="134"/>
      <c r="C403" s="135"/>
      <c r="D403" s="136" t="s">
        <v>360</v>
      </c>
      <c r="E403" s="137">
        <v>0</v>
      </c>
      <c r="F403" s="138"/>
    </row>
    <row r="404" spans="1:9" hidden="1" x14ac:dyDescent="0.25">
      <c r="A404" s="5"/>
      <c r="B404" s="46"/>
      <c r="C404" s="47"/>
      <c r="D404" s="71" t="s">
        <v>361</v>
      </c>
      <c r="E404" s="50">
        <v>0</v>
      </c>
      <c r="F404" s="42"/>
    </row>
    <row r="405" spans="1:9" hidden="1" x14ac:dyDescent="0.25">
      <c r="A405" s="3">
        <v>4</v>
      </c>
      <c r="B405" s="97">
        <v>2</v>
      </c>
      <c r="C405" s="132" t="s">
        <v>98</v>
      </c>
      <c r="D405" s="107" t="s">
        <v>362</v>
      </c>
      <c r="E405" s="35">
        <f>E406</f>
        <v>0</v>
      </c>
      <c r="F405" s="3" t="s">
        <v>3</v>
      </c>
    </row>
    <row r="406" spans="1:9" hidden="1" x14ac:dyDescent="0.25">
      <c r="A406" s="5"/>
      <c r="B406" s="46"/>
      <c r="C406" s="47"/>
      <c r="D406" s="71" t="s">
        <v>363</v>
      </c>
      <c r="E406" s="50">
        <v>0</v>
      </c>
      <c r="F406" s="42" t="s">
        <v>3</v>
      </c>
    </row>
    <row r="407" spans="1:9" ht="30" hidden="1" x14ac:dyDescent="0.25">
      <c r="A407" s="3">
        <v>4</v>
      </c>
      <c r="B407" s="97">
        <v>2</v>
      </c>
      <c r="C407" s="132" t="s">
        <v>122</v>
      </c>
      <c r="D407" s="107" t="s">
        <v>364</v>
      </c>
      <c r="E407" s="35">
        <f>SUM(E408:E410)</f>
        <v>0</v>
      </c>
      <c r="F407" s="76" t="s">
        <v>3</v>
      </c>
    </row>
    <row r="408" spans="1:9" hidden="1" x14ac:dyDescent="0.25">
      <c r="A408" s="5"/>
      <c r="B408" s="46"/>
      <c r="C408" s="47"/>
      <c r="D408" s="71" t="s">
        <v>365</v>
      </c>
      <c r="E408" s="50">
        <v>0</v>
      </c>
      <c r="F408" s="42"/>
    </row>
    <row r="409" spans="1:9" hidden="1" x14ac:dyDescent="0.25">
      <c r="A409" s="5"/>
      <c r="B409" s="46"/>
      <c r="C409" s="47"/>
      <c r="D409" s="71"/>
      <c r="E409" s="50"/>
      <c r="F409" s="42"/>
    </row>
    <row r="410" spans="1:9" hidden="1" x14ac:dyDescent="0.25">
      <c r="A410" s="5"/>
      <c r="B410" s="46"/>
      <c r="C410" s="47"/>
      <c r="D410" s="71"/>
      <c r="E410" s="50"/>
      <c r="F410" s="42"/>
    </row>
    <row r="411" spans="1:9" x14ac:dyDescent="0.25">
      <c r="A411" s="125">
        <v>4</v>
      </c>
      <c r="B411" s="125">
        <v>3</v>
      </c>
      <c r="C411" s="125"/>
      <c r="D411" s="16" t="s">
        <v>69</v>
      </c>
      <c r="E411" s="126">
        <f>SUM(E412:E415)</f>
        <v>5000000</v>
      </c>
      <c r="F411" s="125" t="s">
        <v>0</v>
      </c>
    </row>
    <row r="412" spans="1:9" x14ac:dyDescent="0.25">
      <c r="A412" s="5">
        <v>4</v>
      </c>
      <c r="B412" s="5">
        <v>3</v>
      </c>
      <c r="C412" s="47" t="s">
        <v>85</v>
      </c>
      <c r="D412" s="17" t="s">
        <v>70</v>
      </c>
      <c r="E412" s="91">
        <v>2000000</v>
      </c>
      <c r="F412" s="46" t="s">
        <v>0</v>
      </c>
    </row>
    <row r="413" spans="1:9" x14ac:dyDescent="0.25">
      <c r="A413" s="5">
        <v>4</v>
      </c>
      <c r="B413" s="5">
        <v>3</v>
      </c>
      <c r="C413" s="47" t="s">
        <v>89</v>
      </c>
      <c r="D413" s="17" t="s">
        <v>71</v>
      </c>
      <c r="E413" s="91">
        <v>1000000</v>
      </c>
      <c r="F413" s="46" t="s">
        <v>0</v>
      </c>
    </row>
    <row r="414" spans="1:9" x14ac:dyDescent="0.25">
      <c r="A414" s="5"/>
      <c r="B414" s="5"/>
      <c r="C414" s="47"/>
      <c r="D414" s="17" t="s">
        <v>71</v>
      </c>
      <c r="E414" s="91">
        <v>1000000</v>
      </c>
      <c r="F414" s="46" t="s">
        <v>1</v>
      </c>
    </row>
    <row r="415" spans="1:9" x14ac:dyDescent="0.25">
      <c r="A415" s="5">
        <v>4</v>
      </c>
      <c r="B415" s="5">
        <v>3</v>
      </c>
      <c r="C415" s="47" t="s">
        <v>98</v>
      </c>
      <c r="D415" s="17" t="s">
        <v>72</v>
      </c>
      <c r="E415" s="91">
        <v>1000000</v>
      </c>
      <c r="F415" s="46" t="s">
        <v>1</v>
      </c>
      <c r="I415">
        <v>963625000</v>
      </c>
    </row>
    <row r="416" spans="1:9" ht="30" x14ac:dyDescent="0.25">
      <c r="A416" s="121">
        <v>4</v>
      </c>
      <c r="B416" s="121">
        <v>4</v>
      </c>
      <c r="C416" s="139"/>
      <c r="D416" s="140" t="s">
        <v>73</v>
      </c>
      <c r="E416" s="122">
        <f>E417+E420+E422</f>
        <v>5000000</v>
      </c>
      <c r="F416" s="121" t="s">
        <v>3</v>
      </c>
      <c r="I416">
        <f>I415*10%</f>
        <v>96362500</v>
      </c>
    </row>
    <row r="417" spans="1:9" x14ac:dyDescent="0.25">
      <c r="A417" s="5">
        <v>4</v>
      </c>
      <c r="B417" s="5">
        <v>4</v>
      </c>
      <c r="C417" s="47" t="s">
        <v>85</v>
      </c>
      <c r="D417" s="12" t="s">
        <v>74</v>
      </c>
      <c r="E417" s="54">
        <f>SUM(E418:E419)</f>
        <v>5000000</v>
      </c>
      <c r="F417" s="46" t="s">
        <v>3</v>
      </c>
      <c r="H417" s="173">
        <f>E444-1878630.75</f>
        <v>2253738.5</v>
      </c>
      <c r="I417">
        <f>I416/3600000</f>
        <v>26.767361111111111</v>
      </c>
    </row>
    <row r="418" spans="1:9" x14ac:dyDescent="0.25">
      <c r="A418" s="5"/>
      <c r="B418" s="5"/>
      <c r="C418" s="47"/>
      <c r="D418" s="71" t="s">
        <v>366</v>
      </c>
      <c r="E418" s="50">
        <v>5000000</v>
      </c>
      <c r="F418" s="42" t="s">
        <v>3</v>
      </c>
      <c r="I418">
        <f>30*3600000</f>
        <v>108000000</v>
      </c>
    </row>
    <row r="419" spans="1:9" hidden="1" x14ac:dyDescent="0.25">
      <c r="A419" s="5"/>
      <c r="B419" s="5"/>
      <c r="C419" s="47"/>
      <c r="D419" s="71"/>
      <c r="E419" s="50"/>
      <c r="F419" s="42"/>
    </row>
    <row r="420" spans="1:9" hidden="1" x14ac:dyDescent="0.25">
      <c r="A420" s="5">
        <v>4</v>
      </c>
      <c r="B420" s="5">
        <v>4</v>
      </c>
      <c r="C420" s="47" t="s">
        <v>89</v>
      </c>
      <c r="D420" s="12" t="s">
        <v>367</v>
      </c>
      <c r="E420" s="54">
        <f>E421</f>
        <v>0</v>
      </c>
      <c r="F420" s="46" t="s">
        <v>3</v>
      </c>
    </row>
    <row r="421" spans="1:9" hidden="1" x14ac:dyDescent="0.25">
      <c r="A421" s="5"/>
      <c r="B421" s="5"/>
      <c r="C421" s="47"/>
      <c r="D421" s="71"/>
      <c r="E421" s="50"/>
      <c r="F421" s="42"/>
    </row>
    <row r="422" spans="1:9" hidden="1" x14ac:dyDescent="0.25">
      <c r="A422" s="5">
        <v>4</v>
      </c>
      <c r="B422" s="5">
        <v>4</v>
      </c>
      <c r="C422" s="47" t="s">
        <v>98</v>
      </c>
      <c r="D422" s="12" t="s">
        <v>368</v>
      </c>
      <c r="E422" s="54">
        <f>SUM(E423)</f>
        <v>0</v>
      </c>
      <c r="F422" s="46" t="s">
        <v>3</v>
      </c>
    </row>
    <row r="423" spans="1:9" hidden="1" x14ac:dyDescent="0.25">
      <c r="A423" s="5"/>
      <c r="B423" s="5"/>
      <c r="C423" s="47"/>
      <c r="D423" s="12"/>
      <c r="E423" s="54"/>
      <c r="F423" s="46"/>
    </row>
    <row r="424" spans="1:9" hidden="1" x14ac:dyDescent="0.25">
      <c r="A424" s="125">
        <v>4</v>
      </c>
      <c r="B424" s="125">
        <v>5</v>
      </c>
      <c r="C424" s="125"/>
      <c r="D424" s="16" t="s">
        <v>369</v>
      </c>
      <c r="E424" s="126">
        <f>E425+E427+E429</f>
        <v>0</v>
      </c>
      <c r="F424" s="125" t="s">
        <v>3</v>
      </c>
    </row>
    <row r="425" spans="1:9" hidden="1" x14ac:dyDescent="0.25">
      <c r="A425" s="3">
        <v>4</v>
      </c>
      <c r="B425" s="3">
        <v>5</v>
      </c>
      <c r="C425" s="132" t="s">
        <v>85</v>
      </c>
      <c r="D425" s="2" t="s">
        <v>370</v>
      </c>
      <c r="E425" s="35">
        <f>E426</f>
        <v>0</v>
      </c>
      <c r="F425" s="97"/>
    </row>
    <row r="426" spans="1:9" hidden="1" x14ac:dyDescent="0.25">
      <c r="A426" s="5"/>
      <c r="B426" s="5"/>
      <c r="C426" s="47"/>
      <c r="D426" s="12"/>
      <c r="E426" s="54"/>
      <c r="F426" s="46"/>
    </row>
    <row r="427" spans="1:9" hidden="1" x14ac:dyDescent="0.25">
      <c r="A427" s="3">
        <v>4</v>
      </c>
      <c r="B427" s="3">
        <v>5</v>
      </c>
      <c r="C427" s="132" t="s">
        <v>89</v>
      </c>
      <c r="D427" s="2" t="s">
        <v>371</v>
      </c>
      <c r="E427" s="35">
        <f>E428</f>
        <v>0</v>
      </c>
      <c r="F427" s="97"/>
    </row>
    <row r="428" spans="1:9" hidden="1" x14ac:dyDescent="0.25">
      <c r="A428" s="3"/>
      <c r="B428" s="3"/>
      <c r="C428" s="132"/>
      <c r="D428" s="2"/>
      <c r="E428" s="35"/>
      <c r="F428" s="97"/>
    </row>
    <row r="429" spans="1:9" ht="30" hidden="1" x14ac:dyDescent="0.25">
      <c r="A429" s="3">
        <v>4</v>
      </c>
      <c r="B429" s="3">
        <v>5</v>
      </c>
      <c r="C429" s="132" t="s">
        <v>98</v>
      </c>
      <c r="D429" s="2" t="s">
        <v>372</v>
      </c>
      <c r="E429" s="35">
        <f>E430</f>
        <v>0</v>
      </c>
      <c r="F429" s="97"/>
    </row>
    <row r="430" spans="1:9" hidden="1" x14ac:dyDescent="0.25">
      <c r="A430" s="3"/>
      <c r="B430" s="3"/>
      <c r="C430" s="132"/>
      <c r="D430" s="2"/>
      <c r="E430" s="35"/>
      <c r="F430" s="97"/>
    </row>
    <row r="431" spans="1:9" hidden="1" x14ac:dyDescent="0.25">
      <c r="A431" s="125">
        <v>4</v>
      </c>
      <c r="B431" s="125">
        <v>6</v>
      </c>
      <c r="C431" s="125"/>
      <c r="D431" s="16" t="s">
        <v>373</v>
      </c>
      <c r="E431" s="126">
        <f>E432</f>
        <v>0</v>
      </c>
      <c r="F431" s="125" t="s">
        <v>3</v>
      </c>
    </row>
    <row r="432" spans="1:9" hidden="1" x14ac:dyDescent="0.25">
      <c r="A432" s="3">
        <v>4</v>
      </c>
      <c r="B432" s="3">
        <v>6</v>
      </c>
      <c r="C432" s="132" t="s">
        <v>89</v>
      </c>
      <c r="D432" s="2" t="s">
        <v>374</v>
      </c>
      <c r="E432" s="109">
        <f>SUM(E433:E434)</f>
        <v>0</v>
      </c>
      <c r="F432" s="97"/>
    </row>
    <row r="433" spans="1:13" hidden="1" x14ac:dyDescent="0.25">
      <c r="A433" s="5"/>
      <c r="B433" s="5"/>
      <c r="C433" s="46"/>
      <c r="D433" s="12"/>
      <c r="E433" s="75"/>
      <c r="F433" s="46"/>
    </row>
    <row r="434" spans="1:13" hidden="1" x14ac:dyDescent="0.25">
      <c r="A434" s="5"/>
      <c r="B434" s="5"/>
      <c r="C434" s="47"/>
      <c r="D434" s="71"/>
      <c r="E434" s="50"/>
      <c r="F434" s="42"/>
    </row>
    <row r="435" spans="1:13" hidden="1" x14ac:dyDescent="0.25">
      <c r="A435" s="125">
        <v>4</v>
      </c>
      <c r="B435" s="125">
        <v>7</v>
      </c>
      <c r="C435" s="125"/>
      <c r="D435" s="16" t="s">
        <v>375</v>
      </c>
      <c r="E435" s="126">
        <f>E436+E439</f>
        <v>0</v>
      </c>
      <c r="F435" s="125"/>
    </row>
    <row r="436" spans="1:13" ht="30" hidden="1" x14ac:dyDescent="0.25">
      <c r="A436" s="3">
        <v>4</v>
      </c>
      <c r="B436" s="3">
        <v>7</v>
      </c>
      <c r="C436" s="34" t="s">
        <v>89</v>
      </c>
      <c r="D436" s="2" t="s">
        <v>376</v>
      </c>
      <c r="E436" s="35">
        <f>SUM(E437:E438)</f>
        <v>0</v>
      </c>
      <c r="F436" s="3" t="s">
        <v>3</v>
      </c>
    </row>
    <row r="437" spans="1:13" hidden="1" x14ac:dyDescent="0.25">
      <c r="A437" s="46"/>
      <c r="B437" s="46"/>
      <c r="C437" s="46"/>
      <c r="D437" s="71" t="s">
        <v>377</v>
      </c>
      <c r="E437" s="50">
        <v>0</v>
      </c>
      <c r="F437" s="42" t="s">
        <v>3</v>
      </c>
    </row>
    <row r="438" spans="1:13" hidden="1" x14ac:dyDescent="0.25">
      <c r="A438" s="46"/>
      <c r="B438" s="46"/>
      <c r="C438" s="46"/>
      <c r="D438" s="71"/>
      <c r="E438" s="50"/>
      <c r="F438" s="42"/>
    </row>
    <row r="439" spans="1:13" ht="30" hidden="1" x14ac:dyDescent="0.25">
      <c r="A439" s="3">
        <v>4</v>
      </c>
      <c r="B439" s="3">
        <v>7</v>
      </c>
      <c r="C439" s="34" t="s">
        <v>109</v>
      </c>
      <c r="D439" s="2" t="s">
        <v>378</v>
      </c>
      <c r="E439" s="35">
        <f>SUM(E440:E441)</f>
        <v>0</v>
      </c>
      <c r="F439" s="3" t="s">
        <v>3</v>
      </c>
    </row>
    <row r="440" spans="1:13" hidden="1" x14ac:dyDescent="0.25">
      <c r="A440" s="46"/>
      <c r="B440" s="46"/>
      <c r="C440" s="46"/>
      <c r="D440" s="71" t="s">
        <v>379</v>
      </c>
      <c r="E440" s="50">
        <v>0</v>
      </c>
      <c r="F440" s="42"/>
    </row>
    <row r="441" spans="1:13" hidden="1" x14ac:dyDescent="0.25">
      <c r="A441" s="46"/>
      <c r="B441" s="46"/>
      <c r="C441" s="46"/>
      <c r="D441" s="71"/>
      <c r="E441" s="50"/>
      <c r="F441" s="42"/>
    </row>
    <row r="442" spans="1:13" ht="27" x14ac:dyDescent="0.25">
      <c r="A442" s="141">
        <v>5</v>
      </c>
      <c r="B442" s="141"/>
      <c r="C442" s="141"/>
      <c r="D442" s="18" t="s">
        <v>75</v>
      </c>
      <c r="E442" s="142">
        <f>E443+E445+E447</f>
        <v>115732369.25</v>
      </c>
      <c r="F442" s="141"/>
      <c r="I442">
        <f>I418/I415*100</f>
        <v>11.207679335841226</v>
      </c>
    </row>
    <row r="443" spans="1:13" x14ac:dyDescent="0.25">
      <c r="A443" s="19">
        <v>5</v>
      </c>
      <c r="B443" s="19">
        <v>1</v>
      </c>
      <c r="C443" s="19"/>
      <c r="D443" s="19" t="s">
        <v>76</v>
      </c>
      <c r="E443" s="143">
        <f>E444</f>
        <v>4132369.25</v>
      </c>
      <c r="F443" s="19"/>
      <c r="H443" t="s">
        <v>466</v>
      </c>
      <c r="I443" s="164">
        <f>36*5000000</f>
        <v>180000000</v>
      </c>
    </row>
    <row r="444" spans="1:13" x14ac:dyDescent="0.25">
      <c r="A444" s="46">
        <v>5</v>
      </c>
      <c r="B444" s="46">
        <v>1</v>
      </c>
      <c r="C444" s="47" t="s">
        <v>380</v>
      </c>
      <c r="D444" s="46" t="s">
        <v>381</v>
      </c>
      <c r="E444" s="191">
        <v>4132369.25</v>
      </c>
      <c r="F444" s="46" t="s">
        <v>3</v>
      </c>
      <c r="H444" t="s">
        <v>467</v>
      </c>
      <c r="I444" s="164">
        <f>84*10000000</f>
        <v>840000000</v>
      </c>
    </row>
    <row r="445" spans="1:13" x14ac:dyDescent="0.25">
      <c r="A445" s="19">
        <v>5</v>
      </c>
      <c r="B445" s="19">
        <v>2</v>
      </c>
      <c r="C445" s="19"/>
      <c r="D445" s="19" t="s">
        <v>77</v>
      </c>
      <c r="E445" s="143">
        <f>E446</f>
        <v>0</v>
      </c>
      <c r="F445" s="19"/>
    </row>
    <row r="446" spans="1:13" x14ac:dyDescent="0.25">
      <c r="A446" s="46">
        <v>5</v>
      </c>
      <c r="B446" s="46">
        <v>2</v>
      </c>
      <c r="C446" s="47" t="s">
        <v>380</v>
      </c>
      <c r="D446" s="46" t="s">
        <v>382</v>
      </c>
      <c r="E446" s="75">
        <v>0</v>
      </c>
      <c r="F446" s="46" t="s">
        <v>9</v>
      </c>
    </row>
    <row r="447" spans="1:13" x14ac:dyDescent="0.25">
      <c r="A447" s="19">
        <v>5</v>
      </c>
      <c r="B447" s="19">
        <v>3</v>
      </c>
      <c r="C447" s="19"/>
      <c r="D447" s="19" t="s">
        <v>78</v>
      </c>
      <c r="E447" s="143">
        <f>E448</f>
        <v>111600000</v>
      </c>
      <c r="F447" s="19"/>
      <c r="J447" s="215" t="s">
        <v>491</v>
      </c>
      <c r="K447" s="215" t="s">
        <v>492</v>
      </c>
    </row>
    <row r="448" spans="1:13" x14ac:dyDescent="0.25">
      <c r="A448" s="46">
        <v>5</v>
      </c>
      <c r="B448" s="46">
        <v>3</v>
      </c>
      <c r="C448" s="47" t="s">
        <v>380</v>
      </c>
      <c r="D448" s="46" t="s">
        <v>383</v>
      </c>
      <c r="E448" s="75">
        <f>E449</f>
        <v>111600000</v>
      </c>
      <c r="F448" s="46" t="s">
        <v>3</v>
      </c>
      <c r="H448" s="219">
        <f>E449/M5*100</f>
        <v>10.001496639730139</v>
      </c>
      <c r="I448" t="s">
        <v>397</v>
      </c>
      <c r="J448" s="216">
        <f>M5*10%</f>
        <v>111583300</v>
      </c>
      <c r="K448" s="217">
        <f>J448/3600000</f>
        <v>30.995361111111112</v>
      </c>
      <c r="L448" s="164"/>
      <c r="M448" s="164"/>
    </row>
    <row r="449" spans="1:13" x14ac:dyDescent="0.25">
      <c r="A449" s="46"/>
      <c r="B449" s="46"/>
      <c r="C449" s="47"/>
      <c r="D449" s="55" t="s">
        <v>384</v>
      </c>
      <c r="E449" s="51">
        <v>111600000</v>
      </c>
      <c r="F449" s="42"/>
      <c r="H449" s="219">
        <f>E449/3600000</f>
        <v>31</v>
      </c>
      <c r="I449" t="s">
        <v>420</v>
      </c>
      <c r="J449" s="218"/>
      <c r="K449" s="218"/>
      <c r="L449" s="164"/>
      <c r="M449" s="164"/>
    </row>
    <row r="450" spans="1:13" x14ac:dyDescent="0.25">
      <c r="A450" s="144"/>
      <c r="B450" s="144"/>
      <c r="C450" s="144"/>
      <c r="D450" s="144" t="s">
        <v>385</v>
      </c>
      <c r="E450" s="145">
        <f>E451</f>
        <v>0</v>
      </c>
      <c r="F450" s="144"/>
      <c r="J450" s="218"/>
      <c r="K450" s="218"/>
      <c r="L450" s="164"/>
      <c r="M450" s="164"/>
    </row>
    <row r="451" spans="1:13" x14ac:dyDescent="0.25">
      <c r="A451" s="46"/>
      <c r="B451" s="46"/>
      <c r="C451" s="46"/>
      <c r="D451" s="46" t="s">
        <v>386</v>
      </c>
      <c r="E451" s="213">
        <v>0</v>
      </c>
      <c r="F451" s="46" t="s">
        <v>3</v>
      </c>
      <c r="H451" t="s">
        <v>482</v>
      </c>
      <c r="I451" s="164">
        <v>214995906.21000001</v>
      </c>
      <c r="J451" s="218"/>
      <c r="K451" s="218"/>
      <c r="L451" s="164"/>
      <c r="M451" s="164"/>
    </row>
    <row r="452" spans="1:13" x14ac:dyDescent="0.25">
      <c r="H452" t="s">
        <v>483</v>
      </c>
      <c r="I452" s="164">
        <v>214249589.21000001</v>
      </c>
      <c r="J452" s="218"/>
      <c r="K452" s="218"/>
      <c r="L452" s="164"/>
      <c r="M452" s="164"/>
    </row>
    <row r="453" spans="1:13" x14ac:dyDescent="0.25">
      <c r="H453" t="s">
        <v>401</v>
      </c>
      <c r="I453" s="164">
        <f>I451-I452</f>
        <v>746317</v>
      </c>
      <c r="J453" s="218"/>
      <c r="K453" s="218"/>
      <c r="L453" s="164"/>
      <c r="M453" s="164"/>
    </row>
    <row r="454" spans="1:13" x14ac:dyDescent="0.25">
      <c r="D454" s="192" t="s">
        <v>392</v>
      </c>
      <c r="E454" s="191">
        <f>E4+E156+E334+E392+E442</f>
        <v>2405651981.0599999</v>
      </c>
      <c r="I454" s="164"/>
      <c r="J454" s="164"/>
      <c r="K454" s="164"/>
      <c r="L454" s="164"/>
      <c r="M454" s="164"/>
    </row>
    <row r="455" spans="1:13" x14ac:dyDescent="0.25">
      <c r="D455" s="192" t="s">
        <v>422</v>
      </c>
      <c r="E455" s="191">
        <f>E454+E450</f>
        <v>2405651981.0599999</v>
      </c>
      <c r="H455" s="173">
        <f>E449/4</f>
        <v>27900000</v>
      </c>
      <c r="I455" s="164"/>
      <c r="J455" s="164"/>
      <c r="K455" s="164"/>
      <c r="L455" s="164"/>
      <c r="M455" s="164"/>
    </row>
    <row r="456" spans="1:13" x14ac:dyDescent="0.25">
      <c r="I456" s="164"/>
    </row>
    <row r="457" spans="1:13" x14ac:dyDescent="0.25">
      <c r="I457" s="164"/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7716535433070868" header="0.31496062992125984" footer="0.31496062992125984"/>
  <pageSetup paperSize="14" scale="8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56"/>
  <sheetViews>
    <sheetView topLeftCell="F1" zoomScaleNormal="100" workbookViewId="0">
      <selection activeCell="Q6" sqref="Q6"/>
    </sheetView>
  </sheetViews>
  <sheetFormatPr defaultRowHeight="15" x14ac:dyDescent="0.25"/>
  <cols>
    <col min="1" max="1" width="3.5703125" customWidth="1"/>
    <col min="2" max="2" width="2" bestFit="1" customWidth="1"/>
    <col min="3" max="3" width="3.5703125" bestFit="1" customWidth="1"/>
    <col min="4" max="4" width="58.7109375" customWidth="1"/>
    <col min="5" max="5" width="16.5703125" customWidth="1"/>
    <col min="6" max="6" width="14.85546875" customWidth="1"/>
    <col min="8" max="8" width="16.28515625" bestFit="1" customWidth="1"/>
    <col min="9" max="9" width="17.140625" customWidth="1"/>
    <col min="10" max="10" width="14.140625" customWidth="1"/>
    <col min="11" max="11" width="16.140625" customWidth="1"/>
    <col min="12" max="12" width="15.85546875" customWidth="1"/>
    <col min="13" max="13" width="15.42578125" bestFit="1" customWidth="1"/>
    <col min="14" max="14" width="13.140625" customWidth="1"/>
    <col min="15" max="15" width="14" customWidth="1"/>
    <col min="16" max="16" width="12.42578125" customWidth="1"/>
    <col min="17" max="17" width="15.42578125" bestFit="1" customWidth="1"/>
  </cols>
  <sheetData>
    <row r="1" spans="1:19" ht="9" customHeight="1" x14ac:dyDescent="0.25">
      <c r="A1" s="377" t="s">
        <v>495</v>
      </c>
      <c r="B1" s="377"/>
      <c r="C1" s="377"/>
      <c r="D1" s="377"/>
      <c r="E1" s="377"/>
      <c r="F1" s="377"/>
    </row>
    <row r="2" spans="1:19" ht="8.25" customHeight="1" x14ac:dyDescent="0.25">
      <c r="A2" s="378"/>
      <c r="B2" s="378"/>
      <c r="C2" s="378"/>
      <c r="D2" s="378"/>
      <c r="E2" s="378"/>
      <c r="F2" s="378"/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214" t="s">
        <v>80</v>
      </c>
      <c r="H3" s="173"/>
    </row>
    <row r="4" spans="1:19" x14ac:dyDescent="0.25">
      <c r="A4" s="7">
        <v>1</v>
      </c>
      <c r="B4" s="7"/>
      <c r="C4" s="7"/>
      <c r="D4" s="7" t="s">
        <v>21</v>
      </c>
      <c r="E4" s="31">
        <f>E5+E77+E97+E117+E147</f>
        <v>1382093900</v>
      </c>
      <c r="F4" s="32"/>
      <c r="H4" s="147" t="s">
        <v>387</v>
      </c>
      <c r="I4" s="148" t="s">
        <v>0</v>
      </c>
      <c r="J4" s="148" t="s">
        <v>1</v>
      </c>
      <c r="K4" s="148" t="s">
        <v>2</v>
      </c>
      <c r="L4" s="149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2504970800</v>
      </c>
      <c r="S4" s="150" t="s">
        <v>390</v>
      </c>
    </row>
    <row r="5" spans="1:19" ht="32.25" customHeight="1" x14ac:dyDescent="0.25">
      <c r="A5" s="8">
        <v>1</v>
      </c>
      <c r="B5" s="8">
        <v>1</v>
      </c>
      <c r="C5" s="8"/>
      <c r="D5" s="6" t="s">
        <v>20</v>
      </c>
      <c r="E5" s="33">
        <f>E6+E11+E19+E33+E52+E55+E61+E72+E74</f>
        <v>744157100</v>
      </c>
      <c r="F5" s="8"/>
      <c r="H5" s="147" t="s">
        <v>391</v>
      </c>
      <c r="I5" s="151">
        <f>PAGU!B11</f>
        <v>600882100</v>
      </c>
      <c r="J5" s="151">
        <f>PAGU!C28</f>
        <v>172811800</v>
      </c>
      <c r="K5" s="151">
        <f>PAGU!E28</f>
        <v>59043900</v>
      </c>
      <c r="L5" s="151">
        <f>[1]Sheet1!$L$3</f>
        <v>38000000</v>
      </c>
      <c r="M5" s="151">
        <v>1115833000</v>
      </c>
      <c r="N5" s="152">
        <f>[1]Sheet1!$M$3</f>
        <v>5000000</v>
      </c>
      <c r="O5" s="152">
        <f>[1]Sheet1!$J$3</f>
        <v>56400000</v>
      </c>
      <c r="P5" s="153">
        <f>[1]Sheet1!$K$3</f>
        <v>500000000</v>
      </c>
      <c r="Q5" s="154">
        <f>SUM(I5:P5)</f>
        <v>2547970800</v>
      </c>
      <c r="S5">
        <v>92931398</v>
      </c>
    </row>
    <row r="6" spans="1:19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72556000</v>
      </c>
      <c r="F6" s="3" t="s">
        <v>0</v>
      </c>
      <c r="H6" s="147" t="s">
        <v>392</v>
      </c>
      <c r="I6" s="151">
        <f>E7+E8+E12+E13+E15+E16+E17+E19+E34+E36+E38+E40+E50+E51+E53+E89+E118+E132+E140+E183+E319+E320+E411+E412</f>
        <v>605882100</v>
      </c>
      <c r="J6" s="151">
        <f>E44+E49+E78+E85+E96+E98+E109+E110+E122+E126+E127+E128+E137+E148+E151+E167+E341+E342+E354+E357+E379+E381+E388+E413+E414</f>
        <v>176811800</v>
      </c>
      <c r="K6" s="151">
        <f>E47+E88+E108+E135+E340+E358+E359++E372+E387</f>
        <v>63043900</v>
      </c>
      <c r="L6" s="151">
        <f>E9+E14+E18+E37+E43+E45+E46+E48+E54+E55+E87+E90</f>
        <v>41500000</v>
      </c>
      <c r="M6" s="151">
        <f>E61+E106+E157+E174+E181+E184+E185+E186+E187+E192+E199+E206+E239+E241+E243+E262+E273+E278+E290+E294+E318+E330+E398+E400+E416+E443+E447</f>
        <v>1180833000</v>
      </c>
      <c r="N6" s="151">
        <f>E41+E42+E169</f>
        <v>10000000</v>
      </c>
      <c r="O6" s="151">
        <f>E72+E74</f>
        <v>56400000</v>
      </c>
      <c r="P6" s="155">
        <f>E95</f>
        <v>500000000</v>
      </c>
      <c r="Q6" s="156">
        <f>SUM(I6:P6)</f>
        <v>2634470800</v>
      </c>
      <c r="R6" s="79"/>
      <c r="S6" s="157">
        <f>S5+Q7</f>
        <v>6431398</v>
      </c>
    </row>
    <row r="7" spans="1:19" x14ac:dyDescent="0.25">
      <c r="A7" s="3"/>
      <c r="B7" s="3"/>
      <c r="C7" s="34"/>
      <c r="D7" s="36" t="s">
        <v>455</v>
      </c>
      <c r="E7" s="37">
        <v>48456000</v>
      </c>
      <c r="F7" s="37"/>
      <c r="H7" s="147"/>
      <c r="I7" s="155"/>
      <c r="J7" s="155"/>
      <c r="K7" s="155"/>
      <c r="L7" s="151"/>
      <c r="M7" s="155"/>
      <c r="N7" s="155"/>
      <c r="O7" s="155"/>
      <c r="P7" s="155"/>
      <c r="Q7" s="158">
        <f>Q5-Q6</f>
        <v>-86500000</v>
      </c>
      <c r="R7" s="79"/>
      <c r="S7" s="79"/>
    </row>
    <row r="8" spans="1:19" x14ac:dyDescent="0.25">
      <c r="A8" s="3"/>
      <c r="B8" s="3"/>
      <c r="C8" s="34"/>
      <c r="D8" s="36" t="s">
        <v>87</v>
      </c>
      <c r="E8" s="37">
        <v>22800000</v>
      </c>
      <c r="F8" s="37"/>
      <c r="H8" s="147" t="s">
        <v>393</v>
      </c>
      <c r="I8" s="152">
        <f>I5-I6</f>
        <v>-5000000</v>
      </c>
      <c r="J8" s="152">
        <f t="shared" ref="J8:P8" si="0">J5-J6</f>
        <v>-4000000</v>
      </c>
      <c r="K8" s="152">
        <f t="shared" si="0"/>
        <v>-4000000</v>
      </c>
      <c r="L8" s="152">
        <f t="shared" si="0"/>
        <v>-3500000</v>
      </c>
      <c r="M8" s="151">
        <f>M5-M6</f>
        <v>-65000000</v>
      </c>
      <c r="N8" s="151">
        <f t="shared" si="0"/>
        <v>-5000000</v>
      </c>
      <c r="O8" s="151">
        <f t="shared" si="0"/>
        <v>0</v>
      </c>
      <c r="P8" s="155">
        <f t="shared" si="0"/>
        <v>0</v>
      </c>
      <c r="Q8" s="156"/>
      <c r="R8" s="79"/>
      <c r="S8" s="79"/>
    </row>
    <row r="9" spans="1:19" x14ac:dyDescent="0.25">
      <c r="A9" s="3"/>
      <c r="B9" s="3"/>
      <c r="C9" s="34"/>
      <c r="D9" s="36" t="s">
        <v>88</v>
      </c>
      <c r="E9" s="37">
        <v>1300000</v>
      </c>
      <c r="F9" s="36" t="s">
        <v>6</v>
      </c>
      <c r="H9" s="79"/>
      <c r="I9" s="79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x14ac:dyDescent="0.25">
      <c r="A10" s="3"/>
      <c r="B10" s="3"/>
      <c r="C10" s="34"/>
      <c r="D10" s="38"/>
      <c r="E10" s="37"/>
      <c r="F10" s="3"/>
      <c r="H10" s="26" t="s">
        <v>395</v>
      </c>
      <c r="I10" s="25">
        <f>Q6-P6-O6</f>
        <v>2078070800</v>
      </c>
      <c r="J10" s="79">
        <v>630000000</v>
      </c>
      <c r="K10" s="159">
        <f>J5+K5</f>
        <v>231855700</v>
      </c>
      <c r="L10" s="159"/>
      <c r="M10" s="79">
        <f>M6*5%</f>
        <v>59041650</v>
      </c>
      <c r="N10" s="157"/>
      <c r="O10" s="157"/>
      <c r="P10" s="79"/>
      <c r="Q10" s="157"/>
      <c r="R10" s="79"/>
      <c r="S10" s="79"/>
    </row>
    <row r="11" spans="1:19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383418960</v>
      </c>
      <c r="F11" s="2" t="s">
        <v>90</v>
      </c>
      <c r="H11" s="160">
        <v>0.3</v>
      </c>
      <c r="I11" s="161">
        <f>I10*30%</f>
        <v>623421240</v>
      </c>
      <c r="K11" s="162">
        <f>J6+K6</f>
        <v>239855700</v>
      </c>
      <c r="L11" s="163"/>
      <c r="M11" s="164">
        <f>M5+M10</f>
        <v>1174874650</v>
      </c>
      <c r="Q11" s="165">
        <v>601441000</v>
      </c>
      <c r="R11" s="79"/>
      <c r="S11" s="79"/>
    </row>
    <row r="12" spans="1:19" x14ac:dyDescent="0.25">
      <c r="A12" s="3"/>
      <c r="B12" s="3"/>
      <c r="C12" s="34"/>
      <c r="D12" s="36" t="s">
        <v>456</v>
      </c>
      <c r="E12" s="37">
        <v>33919200</v>
      </c>
      <c r="F12" s="39" t="s">
        <v>0</v>
      </c>
      <c r="H12" s="20" t="s">
        <v>396</v>
      </c>
      <c r="I12" s="166">
        <f>E5-E33-E61-E72-E74</f>
        <v>527445560</v>
      </c>
      <c r="J12" s="167">
        <f>I12/I10*100</f>
        <v>25.381500957522718</v>
      </c>
      <c r="K12" s="168" t="s">
        <v>397</v>
      </c>
      <c r="L12" s="169">
        <f>I5*5%</f>
        <v>30044105</v>
      </c>
      <c r="M12" s="164">
        <f>M5+M19</f>
        <v>1180833000</v>
      </c>
      <c r="O12" s="164">
        <f>M5-239300000</f>
        <v>876533000</v>
      </c>
      <c r="P12" s="1"/>
      <c r="Q12" s="1">
        <v>582565000</v>
      </c>
      <c r="R12" s="79"/>
      <c r="S12" s="79"/>
    </row>
    <row r="13" spans="1:19" x14ac:dyDescent="0.25">
      <c r="A13" s="3"/>
      <c r="B13" s="3"/>
      <c r="C13" s="34"/>
      <c r="D13" s="36" t="s">
        <v>92</v>
      </c>
      <c r="E13" s="37">
        <v>16800000</v>
      </c>
      <c r="F13" s="39" t="s">
        <v>0</v>
      </c>
      <c r="H13" s="20" t="s">
        <v>398</v>
      </c>
      <c r="I13" s="170">
        <f>I11-I12</f>
        <v>95975680</v>
      </c>
      <c r="J13">
        <f>I5*5%</f>
        <v>30044105</v>
      </c>
      <c r="K13" s="171"/>
      <c r="L13" s="169"/>
      <c r="M13" s="164">
        <f>I5+J5+K5+M5+O5+P5</f>
        <v>2504970800</v>
      </c>
      <c r="Q13" s="164">
        <f>Q11-Q12</f>
        <v>18876000</v>
      </c>
      <c r="R13" s="79"/>
      <c r="S13" s="79"/>
    </row>
    <row r="14" spans="1:19" x14ac:dyDescent="0.25">
      <c r="A14" s="3"/>
      <c r="B14" s="3"/>
      <c r="C14" s="34"/>
      <c r="D14" s="36" t="s">
        <v>93</v>
      </c>
      <c r="E14" s="37">
        <v>1125000</v>
      </c>
      <c r="F14" s="39" t="s">
        <v>6</v>
      </c>
      <c r="H14" s="171"/>
      <c r="I14" s="172"/>
      <c r="J14" s="164">
        <f>I5+J13</f>
        <v>630926205</v>
      </c>
      <c r="K14" s="171"/>
      <c r="L14" s="169"/>
      <c r="M14" s="164"/>
      <c r="Q14" s="164"/>
      <c r="R14" s="79"/>
      <c r="S14" s="79"/>
    </row>
    <row r="15" spans="1:19" x14ac:dyDescent="0.25">
      <c r="A15" s="3"/>
      <c r="B15" s="3"/>
      <c r="C15" s="34"/>
      <c r="D15" s="36" t="s">
        <v>457</v>
      </c>
      <c r="E15" s="37">
        <v>218399760</v>
      </c>
      <c r="F15" s="36" t="s">
        <v>0</v>
      </c>
      <c r="H15" s="173">
        <f>E12+E15+E16</f>
        <v>252318960</v>
      </c>
      <c r="I15" s="173">
        <f>E14+E18</f>
        <v>6300000</v>
      </c>
      <c r="K15">
        <f>11*12</f>
        <v>132</v>
      </c>
      <c r="M15" s="173">
        <f>M5*8%</f>
        <v>89266640</v>
      </c>
      <c r="N15" s="164">
        <v>73000000</v>
      </c>
    </row>
    <row r="16" spans="1:19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H16" s="173">
        <f>E13+E17</f>
        <v>124800000</v>
      </c>
      <c r="M16" s="173"/>
      <c r="N16" s="164"/>
    </row>
    <row r="17" spans="1:17" x14ac:dyDescent="0.25">
      <c r="A17" s="3"/>
      <c r="B17" s="3"/>
      <c r="C17" s="34"/>
      <c r="D17" s="36" t="s">
        <v>96</v>
      </c>
      <c r="E17" s="37">
        <v>108000000</v>
      </c>
      <c r="F17" s="36" t="s">
        <v>0</v>
      </c>
      <c r="H17" s="173">
        <f>SUM(E15:E16)</f>
        <v>218399760</v>
      </c>
      <c r="I17" s="173">
        <f>H17/108</f>
        <v>2022220</v>
      </c>
      <c r="J17" s="380">
        <f>J19+K19</f>
        <v>8000000</v>
      </c>
      <c r="K17" s="380"/>
    </row>
    <row r="18" spans="1:17" x14ac:dyDescent="0.25">
      <c r="A18" s="3"/>
      <c r="B18" s="3"/>
      <c r="C18" s="34"/>
      <c r="D18" s="36" t="s">
        <v>97</v>
      </c>
      <c r="E18" s="41">
        <v>5175000</v>
      </c>
      <c r="F18" s="42" t="s">
        <v>6</v>
      </c>
      <c r="H18" s="26"/>
      <c r="I18" s="174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SUM(E20:E32)</f>
        <v>18795600</v>
      </c>
      <c r="F19" s="3" t="s">
        <v>0</v>
      </c>
      <c r="H19" s="182" t="s">
        <v>390</v>
      </c>
      <c r="I19" s="176">
        <v>5000000</v>
      </c>
      <c r="J19" s="177">
        <v>4000000</v>
      </c>
      <c r="K19" s="177">
        <v>4000000</v>
      </c>
      <c r="L19" s="177">
        <v>3500000</v>
      </c>
      <c r="M19" s="197">
        <v>65000000</v>
      </c>
      <c r="N19" s="176">
        <v>5000000</v>
      </c>
      <c r="O19" s="176">
        <v>0</v>
      </c>
      <c r="P19" s="178">
        <v>0</v>
      </c>
      <c r="Q19" s="175"/>
    </row>
    <row r="20" spans="1:17" x14ac:dyDescent="0.25">
      <c r="A20" s="3"/>
      <c r="B20" s="3"/>
      <c r="C20" s="34"/>
      <c r="D20" s="43"/>
      <c r="E20" s="209" t="s">
        <v>480</v>
      </c>
      <c r="F20" s="210" t="s">
        <v>481</v>
      </c>
      <c r="H20" s="26" t="s">
        <v>399</v>
      </c>
      <c r="I20" s="381">
        <f>SUM(I19:N19)</f>
        <v>86500000</v>
      </c>
      <c r="J20" s="382"/>
      <c r="K20" s="382"/>
      <c r="L20" s="382"/>
      <c r="M20" s="382"/>
      <c r="N20" s="382"/>
      <c r="O20" s="382"/>
      <c r="P20" s="383"/>
      <c r="Q20" s="179"/>
    </row>
    <row r="21" spans="1:17" x14ac:dyDescent="0.25">
      <c r="A21" s="3"/>
      <c r="B21" s="3"/>
      <c r="C21" s="34"/>
      <c r="D21" s="43" t="s">
        <v>100</v>
      </c>
      <c r="E21" s="37">
        <f>F21*12</f>
        <v>1794000</v>
      </c>
      <c r="F21" s="37">
        <v>149500</v>
      </c>
      <c r="H21" s="180" t="s">
        <v>400</v>
      </c>
      <c r="I21" s="181">
        <f>I19-E16-E35-96753.61</f>
        <v>4903246.3899999997</v>
      </c>
      <c r="J21" s="181">
        <f>J8+J19</f>
        <v>0</v>
      </c>
      <c r="K21" s="181">
        <f>K8+K19</f>
        <v>0</v>
      </c>
      <c r="L21" s="181">
        <f>L19</f>
        <v>3500000</v>
      </c>
      <c r="M21" s="181">
        <f>M19</f>
        <v>65000000</v>
      </c>
      <c r="N21" s="181">
        <f>N8+N19</f>
        <v>0</v>
      </c>
      <c r="O21" s="181"/>
      <c r="P21" s="20"/>
      <c r="Q21" s="171"/>
    </row>
    <row r="22" spans="1:17" x14ac:dyDescent="0.25">
      <c r="A22" s="3"/>
      <c r="B22" s="3"/>
      <c r="C22" s="34"/>
      <c r="D22" s="43" t="s">
        <v>101</v>
      </c>
      <c r="E22" s="37">
        <f t="shared" ref="E22:E28" si="1">F22*12</f>
        <v>969600</v>
      </c>
      <c r="F22" s="37">
        <v>80800</v>
      </c>
      <c r="H22" s="26" t="s">
        <v>401</v>
      </c>
      <c r="I22" s="181">
        <f>I8+I19</f>
        <v>0</v>
      </c>
      <c r="J22" s="181">
        <f>J8+J19</f>
        <v>0</v>
      </c>
      <c r="K22" s="181">
        <f>K8+K19</f>
        <v>0</v>
      </c>
      <c r="L22" s="181">
        <f>L8+L19</f>
        <v>0</v>
      </c>
      <c r="M22" s="181">
        <f>M8+M19-E449</f>
        <v>0</v>
      </c>
      <c r="N22" s="181">
        <f>N8+N19</f>
        <v>0</v>
      </c>
      <c r="O22" s="181"/>
      <c r="P22" s="20"/>
    </row>
    <row r="23" spans="1:17" x14ac:dyDescent="0.25">
      <c r="A23" s="3"/>
      <c r="B23" s="3"/>
      <c r="C23" s="34"/>
      <c r="D23" s="43" t="s">
        <v>102</v>
      </c>
      <c r="E23" s="37">
        <f t="shared" si="1"/>
        <v>146400</v>
      </c>
      <c r="F23" s="37">
        <v>12200</v>
      </c>
    </row>
    <row r="24" spans="1:17" x14ac:dyDescent="0.25">
      <c r="A24" s="3"/>
      <c r="B24" s="3"/>
      <c r="C24" s="34"/>
      <c r="D24" s="43" t="s">
        <v>103</v>
      </c>
      <c r="E24" s="37">
        <f t="shared" si="1"/>
        <v>116400</v>
      </c>
      <c r="F24" s="37">
        <v>9700</v>
      </c>
      <c r="I24" s="173">
        <f>E7+E8</f>
        <v>71256000</v>
      </c>
    </row>
    <row r="25" spans="1:17" x14ac:dyDescent="0.25">
      <c r="A25" s="3"/>
      <c r="B25" s="3"/>
      <c r="C25" s="34"/>
      <c r="D25" s="43" t="s">
        <v>476</v>
      </c>
      <c r="E25" s="37">
        <f t="shared" si="1"/>
        <v>1255200</v>
      </c>
      <c r="F25" s="37">
        <v>104600</v>
      </c>
      <c r="I25" s="173"/>
      <c r="M25">
        <v>243711000</v>
      </c>
    </row>
    <row r="26" spans="1:17" x14ac:dyDescent="0.25">
      <c r="A26" s="3"/>
      <c r="B26" s="3"/>
      <c r="C26" s="34"/>
      <c r="D26" s="43" t="s">
        <v>477</v>
      </c>
      <c r="E26" s="37">
        <f t="shared" si="1"/>
        <v>679200</v>
      </c>
      <c r="F26" s="37">
        <v>56600</v>
      </c>
      <c r="I26" s="173"/>
      <c r="M26" s="164">
        <f>M25-M22</f>
        <v>243711000</v>
      </c>
    </row>
    <row r="27" spans="1:17" x14ac:dyDescent="0.25">
      <c r="A27" s="3"/>
      <c r="B27" s="3"/>
      <c r="C27" s="34"/>
      <c r="D27" s="43" t="s">
        <v>478</v>
      </c>
      <c r="E27" s="37">
        <f t="shared" si="1"/>
        <v>102000</v>
      </c>
      <c r="F27" s="37">
        <v>8500</v>
      </c>
      <c r="I27" s="173"/>
    </row>
    <row r="28" spans="1:17" x14ac:dyDescent="0.25">
      <c r="A28" s="3"/>
      <c r="B28" s="3"/>
      <c r="C28" s="34"/>
      <c r="D28" s="43" t="s">
        <v>479</v>
      </c>
      <c r="E28" s="37">
        <f t="shared" si="1"/>
        <v>81600</v>
      </c>
      <c r="F28" s="208">
        <v>6800</v>
      </c>
    </row>
    <row r="29" spans="1:17" x14ac:dyDescent="0.25">
      <c r="A29" s="3"/>
      <c r="B29" s="3"/>
      <c r="C29" s="34"/>
      <c r="D29" s="43" t="s">
        <v>105</v>
      </c>
      <c r="E29" s="37">
        <f>F29*9*12</f>
        <v>8089200</v>
      </c>
      <c r="F29" s="208">
        <v>74900</v>
      </c>
      <c r="H29" s="173">
        <f>SUM(F21:F24)</f>
        <v>252200</v>
      </c>
      <c r="I29">
        <f>9*12</f>
        <v>108</v>
      </c>
      <c r="L29" t="s">
        <v>437</v>
      </c>
      <c r="M29" s="194">
        <f>M5*3%</f>
        <v>33474990</v>
      </c>
      <c r="Q29" s="164">
        <f>I20+Q7</f>
        <v>0</v>
      </c>
    </row>
    <row r="30" spans="1:17" x14ac:dyDescent="0.25">
      <c r="A30" s="3"/>
      <c r="B30" s="3"/>
      <c r="C30" s="34"/>
      <c r="D30" s="43" t="s">
        <v>106</v>
      </c>
      <c r="E30" s="37">
        <f t="shared" ref="E30:E32" si="2">F30*9*12</f>
        <v>4374000</v>
      </c>
      <c r="F30" s="208">
        <v>40500</v>
      </c>
      <c r="H30" s="173">
        <f>H29*12</f>
        <v>3026400</v>
      </c>
    </row>
    <row r="31" spans="1:17" x14ac:dyDescent="0.25">
      <c r="A31" s="3"/>
      <c r="B31" s="3"/>
      <c r="C31" s="34"/>
      <c r="D31" s="43" t="s">
        <v>107</v>
      </c>
      <c r="E31" s="37">
        <f t="shared" si="2"/>
        <v>658800</v>
      </c>
      <c r="F31" s="208">
        <v>6100</v>
      </c>
      <c r="I31">
        <f>L5*20%</f>
        <v>7600000</v>
      </c>
      <c r="K31" t="s">
        <v>442</v>
      </c>
      <c r="L31" s="164">
        <f>500000*12</f>
        <v>6000000</v>
      </c>
    </row>
    <row r="32" spans="1:17" x14ac:dyDescent="0.25">
      <c r="A32" s="3"/>
      <c r="B32" s="3"/>
      <c r="C32" s="34"/>
      <c r="D32" s="43" t="s">
        <v>108</v>
      </c>
      <c r="E32" s="37">
        <f t="shared" si="2"/>
        <v>529200</v>
      </c>
      <c r="F32" s="208">
        <v>4900</v>
      </c>
      <c r="I32" s="173">
        <f>E18+E14+E9</f>
        <v>7600000</v>
      </c>
      <c r="K32" t="s">
        <v>443</v>
      </c>
      <c r="L32" s="164">
        <f>300000*9*12</f>
        <v>32400000</v>
      </c>
    </row>
    <row r="33" spans="1:12" x14ac:dyDescent="0.25">
      <c r="A33" s="3">
        <v>1</v>
      </c>
      <c r="B33" s="3">
        <v>1</v>
      </c>
      <c r="C33" s="34" t="s">
        <v>109</v>
      </c>
      <c r="D33" s="4" t="s">
        <v>16</v>
      </c>
      <c r="E33" s="45">
        <f>SUM(E34:E51)</f>
        <v>128311540</v>
      </c>
      <c r="F33" s="2"/>
      <c r="L33" s="164">
        <f>SUM(L31:L32)</f>
        <v>38400000</v>
      </c>
    </row>
    <row r="34" spans="1:12" x14ac:dyDescent="0.25">
      <c r="A34" s="46"/>
      <c r="B34" s="46"/>
      <c r="C34" s="47"/>
      <c r="D34" s="48" t="s">
        <v>110</v>
      </c>
      <c r="E34" s="49">
        <v>4208560</v>
      </c>
      <c r="F34" s="42" t="s">
        <v>0</v>
      </c>
      <c r="G34" t="s">
        <v>6</v>
      </c>
    </row>
    <row r="35" spans="1:12" hidden="1" x14ac:dyDescent="0.25">
      <c r="A35" s="46"/>
      <c r="B35" s="46"/>
      <c r="C35" s="47"/>
      <c r="D35" s="48" t="s">
        <v>110</v>
      </c>
      <c r="E35" s="49">
        <v>0</v>
      </c>
      <c r="F35" s="42" t="s">
        <v>111</v>
      </c>
    </row>
    <row r="36" spans="1:12" x14ac:dyDescent="0.25">
      <c r="A36" s="46"/>
      <c r="B36" s="46"/>
      <c r="C36" s="47"/>
      <c r="D36" s="48" t="s">
        <v>112</v>
      </c>
      <c r="E36" s="49">
        <v>11000000</v>
      </c>
      <c r="F36" s="48" t="s">
        <v>0</v>
      </c>
      <c r="H36" s="173">
        <f>E38+I22</f>
        <v>927980</v>
      </c>
      <c r="I36" s="173">
        <f>E34+I22</f>
        <v>4208560</v>
      </c>
    </row>
    <row r="37" spans="1:12" x14ac:dyDescent="0.25">
      <c r="A37" s="46"/>
      <c r="B37" s="46"/>
      <c r="C37" s="47"/>
      <c r="D37" s="48" t="s">
        <v>113</v>
      </c>
      <c r="E37" s="49">
        <v>1200000</v>
      </c>
      <c r="F37" s="48" t="s">
        <v>6</v>
      </c>
    </row>
    <row r="38" spans="1:12" x14ac:dyDescent="0.25">
      <c r="A38" s="46"/>
      <c r="B38" s="46"/>
      <c r="C38" s="47"/>
      <c r="D38" s="42" t="s">
        <v>114</v>
      </c>
      <c r="E38" s="50">
        <v>927980</v>
      </c>
      <c r="F38" s="42" t="s">
        <v>0</v>
      </c>
    </row>
    <row r="39" spans="1:12" hidden="1" x14ac:dyDescent="0.25">
      <c r="A39" s="46"/>
      <c r="B39" s="46"/>
      <c r="C39" s="47"/>
      <c r="D39" s="42" t="s">
        <v>115</v>
      </c>
      <c r="E39" s="50">
        <v>0</v>
      </c>
      <c r="F39" s="42" t="s">
        <v>0</v>
      </c>
    </row>
    <row r="40" spans="1:12" x14ac:dyDescent="0.25">
      <c r="A40" s="46"/>
      <c r="B40" s="46"/>
      <c r="C40" s="47"/>
      <c r="D40" s="42" t="s">
        <v>116</v>
      </c>
      <c r="E40" s="50">
        <v>4000000</v>
      </c>
      <c r="F40" s="42" t="s">
        <v>0</v>
      </c>
      <c r="H40" s="1">
        <f>39138840-27300</f>
        <v>39111540</v>
      </c>
    </row>
    <row r="41" spans="1:12" x14ac:dyDescent="0.25">
      <c r="A41" s="46"/>
      <c r="B41" s="46"/>
      <c r="C41" s="47"/>
      <c r="D41" s="48" t="s">
        <v>410</v>
      </c>
      <c r="E41" s="49">
        <v>4000000</v>
      </c>
      <c r="F41" s="42" t="s">
        <v>9</v>
      </c>
    </row>
    <row r="42" spans="1:12" x14ac:dyDescent="0.25">
      <c r="A42" s="46"/>
      <c r="B42" s="46"/>
      <c r="C42" s="47"/>
      <c r="D42" s="48" t="s">
        <v>410</v>
      </c>
      <c r="E42" s="49">
        <v>3000000</v>
      </c>
      <c r="F42" s="42" t="s">
        <v>433</v>
      </c>
    </row>
    <row r="43" spans="1:12" x14ac:dyDescent="0.25">
      <c r="A43" s="46"/>
      <c r="B43" s="46"/>
      <c r="C43" s="46"/>
      <c r="D43" s="42" t="s">
        <v>117</v>
      </c>
      <c r="E43" s="50">
        <v>1000000</v>
      </c>
      <c r="F43" s="42" t="s">
        <v>6</v>
      </c>
      <c r="H43" s="193" t="s">
        <v>430</v>
      </c>
    </row>
    <row r="44" spans="1:12" x14ac:dyDescent="0.25">
      <c r="A44" s="46"/>
      <c r="B44" s="46"/>
      <c r="C44" s="46"/>
      <c r="D44" s="42" t="s">
        <v>118</v>
      </c>
      <c r="E44" s="50">
        <v>6000000</v>
      </c>
      <c r="F44" s="42" t="s">
        <v>1</v>
      </c>
    </row>
    <row r="45" spans="1:12" x14ac:dyDescent="0.25">
      <c r="A45" s="46"/>
      <c r="B45" s="46"/>
      <c r="C45" s="46"/>
      <c r="D45" s="42" t="s">
        <v>118</v>
      </c>
      <c r="E45" s="50">
        <v>5000000</v>
      </c>
      <c r="F45" s="42" t="s">
        <v>6</v>
      </c>
    </row>
    <row r="46" spans="1:12" x14ac:dyDescent="0.25">
      <c r="A46" s="46"/>
      <c r="B46" s="46"/>
      <c r="C46" s="46"/>
      <c r="D46" s="42" t="s">
        <v>118</v>
      </c>
      <c r="E46" s="50">
        <v>1000000</v>
      </c>
      <c r="F46" s="42" t="s">
        <v>431</v>
      </c>
    </row>
    <row r="47" spans="1:12" x14ac:dyDescent="0.25">
      <c r="A47" s="46"/>
      <c r="B47" s="46"/>
      <c r="C47" s="46"/>
      <c r="D47" s="42" t="s">
        <v>118</v>
      </c>
      <c r="E47" s="50">
        <v>7000000</v>
      </c>
      <c r="F47" s="42" t="s">
        <v>2</v>
      </c>
    </row>
    <row r="48" spans="1:12" x14ac:dyDescent="0.25">
      <c r="A48" s="46"/>
      <c r="B48" s="46"/>
      <c r="C48" s="46"/>
      <c r="D48" s="42" t="s">
        <v>119</v>
      </c>
      <c r="E48" s="50">
        <v>10000000</v>
      </c>
      <c r="F48" s="42" t="s">
        <v>6</v>
      </c>
    </row>
    <row r="49" spans="1:9" x14ac:dyDescent="0.25">
      <c r="A49" s="46"/>
      <c r="B49" s="46"/>
      <c r="C49" s="46"/>
      <c r="D49" s="42" t="s">
        <v>120</v>
      </c>
      <c r="E49" s="50">
        <v>51000000</v>
      </c>
      <c r="F49" s="42" t="s">
        <v>1</v>
      </c>
      <c r="H49" s="173">
        <f>SUM(E49:E50)</f>
        <v>61200000</v>
      </c>
      <c r="I49" s="164">
        <f>800000*12</f>
        <v>9600000</v>
      </c>
    </row>
    <row r="50" spans="1:9" x14ac:dyDescent="0.25">
      <c r="A50" s="46"/>
      <c r="B50" s="46"/>
      <c r="C50" s="46"/>
      <c r="D50" s="42" t="s">
        <v>120</v>
      </c>
      <c r="E50" s="50">
        <v>10200000</v>
      </c>
      <c r="F50" s="42" t="s">
        <v>0</v>
      </c>
      <c r="I50" s="164">
        <f>700000*12</f>
        <v>8400000</v>
      </c>
    </row>
    <row r="51" spans="1:9" x14ac:dyDescent="0.25">
      <c r="A51" s="46"/>
      <c r="B51" s="46"/>
      <c r="C51" s="46"/>
      <c r="D51" s="42" t="s">
        <v>121</v>
      </c>
      <c r="E51" s="50">
        <v>8775000</v>
      </c>
      <c r="F51" s="42" t="s">
        <v>0</v>
      </c>
      <c r="I51" s="164">
        <f>600000*6*12</f>
        <v>43200000</v>
      </c>
    </row>
    <row r="52" spans="1:9" x14ac:dyDescent="0.25">
      <c r="A52" s="5">
        <v>1</v>
      </c>
      <c r="B52" s="5">
        <v>1</v>
      </c>
      <c r="C52" s="53" t="s">
        <v>122</v>
      </c>
      <c r="D52" s="5" t="s">
        <v>17</v>
      </c>
      <c r="E52" s="54">
        <f>SUM(E53:E54)</f>
        <v>44300000</v>
      </c>
      <c r="F52" s="5" t="s">
        <v>0</v>
      </c>
      <c r="I52" s="194">
        <f>SUM(I49:I51)</f>
        <v>61200000</v>
      </c>
    </row>
    <row r="53" spans="1:9" x14ac:dyDescent="0.25">
      <c r="A53" s="5"/>
      <c r="B53" s="5"/>
      <c r="C53" s="53"/>
      <c r="D53" s="55" t="s">
        <v>123</v>
      </c>
      <c r="E53" s="50">
        <v>40500000</v>
      </c>
      <c r="F53" s="42" t="s">
        <v>0</v>
      </c>
      <c r="I53" s="164">
        <f>I52/12</f>
        <v>5100000</v>
      </c>
    </row>
    <row r="54" spans="1:9" x14ac:dyDescent="0.25">
      <c r="A54" s="5"/>
      <c r="B54" s="5"/>
      <c r="C54" s="53"/>
      <c r="D54" s="55" t="s">
        <v>124</v>
      </c>
      <c r="E54" s="50">
        <v>3800000</v>
      </c>
      <c r="F54" s="42" t="s">
        <v>6</v>
      </c>
      <c r="I54" s="164">
        <f>I53*2</f>
        <v>10200000</v>
      </c>
    </row>
    <row r="55" spans="1:9" x14ac:dyDescent="0.25">
      <c r="A55" s="5">
        <v>1</v>
      </c>
      <c r="B55" s="5">
        <v>1</v>
      </c>
      <c r="C55" s="53" t="s">
        <v>125</v>
      </c>
      <c r="D55" s="5" t="s">
        <v>18</v>
      </c>
      <c r="E55" s="54">
        <f>SUM(E56:E60)</f>
        <v>8375000</v>
      </c>
      <c r="F55" s="5" t="s">
        <v>6</v>
      </c>
      <c r="I55" s="164">
        <f>I53*10</f>
        <v>51000000</v>
      </c>
    </row>
    <row r="56" spans="1:9" x14ac:dyDescent="0.25">
      <c r="A56" s="46"/>
      <c r="B56" s="46"/>
      <c r="C56" s="46"/>
      <c r="D56" s="42" t="s">
        <v>126</v>
      </c>
      <c r="E56" s="50">
        <v>500000</v>
      </c>
      <c r="F56" s="42" t="s">
        <v>6</v>
      </c>
      <c r="I56" s="164"/>
    </row>
    <row r="57" spans="1:9" x14ac:dyDescent="0.25">
      <c r="A57" s="46"/>
      <c r="B57" s="46"/>
      <c r="C57" s="46"/>
      <c r="D57" s="42" t="s">
        <v>436</v>
      </c>
      <c r="E57" s="50">
        <v>3375000</v>
      </c>
      <c r="F57" s="42"/>
    </row>
    <row r="58" spans="1:9" x14ac:dyDescent="0.25">
      <c r="A58" s="46"/>
      <c r="B58" s="46"/>
      <c r="C58" s="46"/>
      <c r="D58" s="42" t="s">
        <v>127</v>
      </c>
      <c r="E58" s="50">
        <v>1000000</v>
      </c>
      <c r="F58" s="42" t="s">
        <v>6</v>
      </c>
    </row>
    <row r="59" spans="1:9" x14ac:dyDescent="0.25">
      <c r="A59" s="46"/>
      <c r="B59" s="46"/>
      <c r="C59" s="46"/>
      <c r="D59" s="42" t="s">
        <v>128</v>
      </c>
      <c r="E59" s="50">
        <v>2500000</v>
      </c>
      <c r="F59" s="42" t="s">
        <v>6</v>
      </c>
    </row>
    <row r="60" spans="1:9" x14ac:dyDescent="0.25">
      <c r="A60" s="46"/>
      <c r="B60" s="46"/>
      <c r="C60" s="46"/>
      <c r="D60" s="42" t="s">
        <v>129</v>
      </c>
      <c r="E60" s="50">
        <v>1000000</v>
      </c>
      <c r="F60" s="42" t="s">
        <v>6</v>
      </c>
    </row>
    <row r="61" spans="1:9" x14ac:dyDescent="0.25">
      <c r="A61" s="5">
        <v>1</v>
      </c>
      <c r="B61" s="5">
        <v>1</v>
      </c>
      <c r="C61" s="53" t="s">
        <v>160</v>
      </c>
      <c r="D61" s="195" t="s">
        <v>438</v>
      </c>
      <c r="E61" s="196">
        <f>E62+E65+E68</f>
        <v>32000000</v>
      </c>
      <c r="F61" s="5" t="s">
        <v>3</v>
      </c>
      <c r="H61" s="194">
        <f>M5*3%</f>
        <v>33474990</v>
      </c>
    </row>
    <row r="62" spans="1:9" x14ac:dyDescent="0.25">
      <c r="A62" s="46"/>
      <c r="B62" s="46"/>
      <c r="C62" s="55" t="s">
        <v>85</v>
      </c>
      <c r="D62" s="63" t="s">
        <v>439</v>
      </c>
      <c r="E62" s="64">
        <f>E63+E64</f>
        <v>5000000</v>
      </c>
      <c r="F62" s="42"/>
      <c r="H62" s="173">
        <f>E61/M5*100</f>
        <v>2.8678126565534448</v>
      </c>
    </row>
    <row r="63" spans="1:9" x14ac:dyDescent="0.25">
      <c r="A63" s="46"/>
      <c r="B63" s="46"/>
      <c r="C63" s="55"/>
      <c r="D63" s="55" t="s">
        <v>468</v>
      </c>
      <c r="E63" s="50">
        <v>3000000</v>
      </c>
      <c r="F63" s="42"/>
    </row>
    <row r="64" spans="1:9" x14ac:dyDescent="0.25">
      <c r="A64" s="46"/>
      <c r="B64" s="46"/>
      <c r="C64" s="55"/>
      <c r="D64" s="55" t="s">
        <v>469</v>
      </c>
      <c r="E64" s="50">
        <v>2000000</v>
      </c>
      <c r="F64" s="42"/>
    </row>
    <row r="65" spans="1:7" s="188" customFormat="1" ht="30" x14ac:dyDescent="0.25">
      <c r="A65" s="97"/>
      <c r="B65" s="97"/>
      <c r="C65" s="38" t="s">
        <v>89</v>
      </c>
      <c r="D65" s="99" t="s">
        <v>440</v>
      </c>
      <c r="E65" s="100">
        <f>E66+E67</f>
        <v>7000000</v>
      </c>
      <c r="F65" s="36"/>
    </row>
    <row r="66" spans="1:7" s="188" customFormat="1" x14ac:dyDescent="0.25">
      <c r="A66" s="97"/>
      <c r="B66" s="97"/>
      <c r="C66" s="38"/>
      <c r="D66" s="101" t="s">
        <v>470</v>
      </c>
      <c r="E66" s="37">
        <v>2000000</v>
      </c>
      <c r="F66" s="36"/>
    </row>
    <row r="67" spans="1:7" s="188" customFormat="1" x14ac:dyDescent="0.25">
      <c r="A67" s="97"/>
      <c r="B67" s="97"/>
      <c r="C67" s="38"/>
      <c r="D67" s="101" t="s">
        <v>471</v>
      </c>
      <c r="E67" s="40">
        <v>5000000</v>
      </c>
      <c r="F67" s="36"/>
    </row>
    <row r="68" spans="1:7" x14ac:dyDescent="0.25">
      <c r="A68" s="46"/>
      <c r="B68" s="46"/>
      <c r="C68" s="55" t="s">
        <v>98</v>
      </c>
      <c r="D68" s="63" t="s">
        <v>441</v>
      </c>
      <c r="E68" s="64">
        <f>E69+E70+E71</f>
        <v>20000000</v>
      </c>
      <c r="F68" s="42"/>
    </row>
    <row r="69" spans="1:7" x14ac:dyDescent="0.25">
      <c r="A69" s="46"/>
      <c r="B69" s="46"/>
      <c r="C69" s="55"/>
      <c r="D69" s="55" t="s">
        <v>472</v>
      </c>
      <c r="E69" s="51">
        <v>5000000</v>
      </c>
      <c r="F69" s="42"/>
    </row>
    <row r="70" spans="1:7" x14ac:dyDescent="0.25">
      <c r="A70" s="46"/>
      <c r="B70" s="46"/>
      <c r="C70" s="55"/>
      <c r="D70" s="55" t="s">
        <v>473</v>
      </c>
      <c r="E70" s="50">
        <v>10000000</v>
      </c>
      <c r="F70" s="42"/>
    </row>
    <row r="71" spans="1:7" x14ac:dyDescent="0.25">
      <c r="A71" s="46"/>
      <c r="B71" s="46"/>
      <c r="C71" s="55"/>
      <c r="D71" s="55" t="s">
        <v>474</v>
      </c>
      <c r="E71" s="51">
        <v>5000000</v>
      </c>
      <c r="F71" s="42"/>
    </row>
    <row r="72" spans="1:7" x14ac:dyDescent="0.25">
      <c r="A72" s="5">
        <v>1</v>
      </c>
      <c r="B72" s="5">
        <v>1</v>
      </c>
      <c r="C72" s="53" t="s">
        <v>130</v>
      </c>
      <c r="D72" s="5" t="s">
        <v>19</v>
      </c>
      <c r="E72" s="54">
        <f>E73</f>
        <v>18000000</v>
      </c>
      <c r="F72" s="5" t="s">
        <v>131</v>
      </c>
    </row>
    <row r="73" spans="1:7" x14ac:dyDescent="0.25">
      <c r="A73" s="46"/>
      <c r="B73" s="46"/>
      <c r="C73" s="46"/>
      <c r="D73" s="42" t="s">
        <v>19</v>
      </c>
      <c r="E73" s="50">
        <v>18000000</v>
      </c>
      <c r="F73" s="42" t="s">
        <v>131</v>
      </c>
    </row>
    <row r="74" spans="1:7" x14ac:dyDescent="0.25">
      <c r="A74" s="5">
        <v>1</v>
      </c>
      <c r="B74" s="5">
        <v>1</v>
      </c>
      <c r="C74" s="53" t="s">
        <v>444</v>
      </c>
      <c r="D74" s="5" t="s">
        <v>445</v>
      </c>
      <c r="E74" s="54">
        <f>SUM(E75:E76)</f>
        <v>38400000</v>
      </c>
      <c r="F74" s="5" t="s">
        <v>131</v>
      </c>
    </row>
    <row r="75" spans="1:7" x14ac:dyDescent="0.25">
      <c r="A75" s="5"/>
      <c r="B75" s="5"/>
      <c r="C75" s="53"/>
      <c r="D75" s="42" t="s">
        <v>446</v>
      </c>
      <c r="E75" s="50">
        <v>6000000</v>
      </c>
      <c r="F75" s="42"/>
    </row>
    <row r="76" spans="1:7" x14ac:dyDescent="0.25">
      <c r="A76" s="46"/>
      <c r="B76" s="46"/>
      <c r="C76" s="46"/>
      <c r="D76" s="42" t="s">
        <v>447</v>
      </c>
      <c r="E76" s="50">
        <v>32400000</v>
      </c>
      <c r="F76" s="42"/>
    </row>
    <row r="77" spans="1:7" x14ac:dyDescent="0.25">
      <c r="A77" s="8">
        <v>1</v>
      </c>
      <c r="B77" s="8">
        <v>2</v>
      </c>
      <c r="C77" s="56"/>
      <c r="D77" s="8" t="s">
        <v>25</v>
      </c>
      <c r="E77" s="57">
        <f>E78+E83+E93</f>
        <v>570936800</v>
      </c>
      <c r="F77" s="58"/>
    </row>
    <row r="78" spans="1:7" x14ac:dyDescent="0.25">
      <c r="A78" s="5">
        <v>1</v>
      </c>
      <c r="B78" s="5">
        <v>2</v>
      </c>
      <c r="C78" s="53" t="s">
        <v>85</v>
      </c>
      <c r="D78" s="5" t="s">
        <v>22</v>
      </c>
      <c r="E78" s="54">
        <f>SUM(E79:E82)</f>
        <v>43811800</v>
      </c>
      <c r="F78" s="5" t="s">
        <v>1</v>
      </c>
    </row>
    <row r="79" spans="1:7" x14ac:dyDescent="0.25">
      <c r="A79" s="46"/>
      <c r="B79" s="46"/>
      <c r="C79" s="47"/>
      <c r="D79" s="42" t="s">
        <v>428</v>
      </c>
      <c r="E79" s="50">
        <v>14173600</v>
      </c>
      <c r="F79" s="42" t="s">
        <v>1</v>
      </c>
    </row>
    <row r="80" spans="1:7" x14ac:dyDescent="0.25">
      <c r="A80" s="46"/>
      <c r="B80" s="46"/>
      <c r="C80" s="47"/>
      <c r="D80" s="42" t="s">
        <v>423</v>
      </c>
      <c r="E80" s="50">
        <v>4000000</v>
      </c>
      <c r="F80" s="42" t="s">
        <v>1</v>
      </c>
      <c r="G80" s="204" t="s">
        <v>111</v>
      </c>
    </row>
    <row r="81" spans="1:7" x14ac:dyDescent="0.25">
      <c r="A81" s="46"/>
      <c r="B81" s="46"/>
      <c r="C81" s="47"/>
      <c r="D81" s="42" t="s">
        <v>459</v>
      </c>
      <c r="E81" s="50">
        <v>11000000</v>
      </c>
      <c r="F81" s="42" t="s">
        <v>1</v>
      </c>
      <c r="G81" s="204"/>
    </row>
    <row r="82" spans="1:7" x14ac:dyDescent="0.25">
      <c r="A82" s="46"/>
      <c r="B82" s="46"/>
      <c r="C82" s="47"/>
      <c r="D82" s="42" t="s">
        <v>460</v>
      </c>
      <c r="E82" s="50">
        <v>14638200</v>
      </c>
      <c r="F82" s="42" t="s">
        <v>1</v>
      </c>
      <c r="G82" s="204" t="s">
        <v>0</v>
      </c>
    </row>
    <row r="83" spans="1:7" x14ac:dyDescent="0.25">
      <c r="A83" s="3">
        <v>1</v>
      </c>
      <c r="B83" s="3">
        <v>2</v>
      </c>
      <c r="C83" s="34" t="s">
        <v>89</v>
      </c>
      <c r="D83" s="3" t="s">
        <v>23</v>
      </c>
      <c r="E83" s="35">
        <f>E84+E88+E89+E90</f>
        <v>22125000</v>
      </c>
      <c r="F83" s="59" t="s">
        <v>133</v>
      </c>
    </row>
    <row r="84" spans="1:7" x14ac:dyDescent="0.25">
      <c r="A84" s="5"/>
      <c r="B84" s="5"/>
      <c r="C84" s="53"/>
      <c r="D84" s="60" t="s">
        <v>134</v>
      </c>
      <c r="E84" s="61">
        <f>SUM(E85:E87)</f>
        <v>5900000</v>
      </c>
      <c r="F84" s="60" t="s">
        <v>135</v>
      </c>
    </row>
    <row r="85" spans="1:7" x14ac:dyDescent="0.25">
      <c r="A85" s="5"/>
      <c r="B85" s="5"/>
      <c r="C85" s="53"/>
      <c r="D85" s="62" t="s">
        <v>136</v>
      </c>
      <c r="E85" s="49">
        <v>5000000</v>
      </c>
      <c r="F85" s="48" t="s">
        <v>1</v>
      </c>
    </row>
    <row r="86" spans="1:7" hidden="1" x14ac:dyDescent="0.25">
      <c r="A86" s="5"/>
      <c r="B86" s="5"/>
      <c r="C86" s="53"/>
      <c r="D86" s="62" t="s">
        <v>136</v>
      </c>
      <c r="E86" s="49">
        <v>0</v>
      </c>
      <c r="F86" s="48" t="s">
        <v>0</v>
      </c>
    </row>
    <row r="87" spans="1:7" x14ac:dyDescent="0.25">
      <c r="A87" s="5"/>
      <c r="B87" s="5"/>
      <c r="C87" s="53"/>
      <c r="D87" s="62" t="s">
        <v>137</v>
      </c>
      <c r="E87" s="49">
        <v>900000</v>
      </c>
      <c r="F87" s="48" t="s">
        <v>6</v>
      </c>
    </row>
    <row r="88" spans="1:7" x14ac:dyDescent="0.25">
      <c r="A88" s="5"/>
      <c r="B88" s="5"/>
      <c r="C88" s="53"/>
      <c r="D88" s="63" t="s">
        <v>138</v>
      </c>
      <c r="E88" s="64">
        <v>4000000</v>
      </c>
      <c r="F88" s="63" t="s">
        <v>2</v>
      </c>
    </row>
    <row r="89" spans="1:7" x14ac:dyDescent="0.25">
      <c r="A89" s="5"/>
      <c r="B89" s="5"/>
      <c r="C89" s="53"/>
      <c r="D89" s="63" t="s">
        <v>139</v>
      </c>
      <c r="E89" s="64">
        <v>9600000</v>
      </c>
      <c r="F89" s="63" t="s">
        <v>0</v>
      </c>
    </row>
    <row r="90" spans="1:7" x14ac:dyDescent="0.25">
      <c r="A90" s="5"/>
      <c r="B90" s="5"/>
      <c r="C90" s="53"/>
      <c r="D90" s="63" t="s">
        <v>140</v>
      </c>
      <c r="E90" s="64">
        <f>E91+E92</f>
        <v>2625000</v>
      </c>
      <c r="F90" s="63" t="s">
        <v>6</v>
      </c>
    </row>
    <row r="91" spans="1:7" x14ac:dyDescent="0.25">
      <c r="A91" s="5"/>
      <c r="B91" s="5"/>
      <c r="C91" s="53"/>
      <c r="D91" s="65" t="s">
        <v>141</v>
      </c>
      <c r="E91" s="66">
        <v>1500000</v>
      </c>
      <c r="F91" s="67"/>
    </row>
    <row r="92" spans="1:7" x14ac:dyDescent="0.25">
      <c r="A92" s="5"/>
      <c r="B92" s="5"/>
      <c r="C92" s="53"/>
      <c r="D92" s="65" t="s">
        <v>142</v>
      </c>
      <c r="E92" s="66">
        <v>1125000</v>
      </c>
      <c r="F92" s="67"/>
    </row>
    <row r="93" spans="1:7" ht="30" x14ac:dyDescent="0.25">
      <c r="A93" s="3">
        <v>1</v>
      </c>
      <c r="B93" s="3">
        <v>2</v>
      </c>
      <c r="C93" s="34" t="s">
        <v>98</v>
      </c>
      <c r="D93" s="2" t="s">
        <v>24</v>
      </c>
      <c r="E93" s="35">
        <f>SUM(E94:E96)</f>
        <v>505000000</v>
      </c>
      <c r="F93" s="3" t="s">
        <v>4</v>
      </c>
    </row>
    <row r="94" spans="1:7" hidden="1" x14ac:dyDescent="0.25">
      <c r="A94" s="3"/>
      <c r="B94" s="3"/>
      <c r="C94" s="34"/>
      <c r="D94" s="65" t="s">
        <v>143</v>
      </c>
      <c r="E94" s="37">
        <v>0</v>
      </c>
      <c r="F94" s="36" t="s">
        <v>6</v>
      </c>
    </row>
    <row r="95" spans="1:7" x14ac:dyDescent="0.25">
      <c r="A95" s="5"/>
      <c r="B95" s="5"/>
      <c r="C95" s="53"/>
      <c r="D95" s="65" t="s">
        <v>143</v>
      </c>
      <c r="E95" s="66">
        <v>500000000</v>
      </c>
      <c r="F95" s="67" t="s">
        <v>4</v>
      </c>
    </row>
    <row r="96" spans="1:7" x14ac:dyDescent="0.25">
      <c r="A96" s="5"/>
      <c r="B96" s="5"/>
      <c r="C96" s="53"/>
      <c r="D96" s="65" t="s">
        <v>462</v>
      </c>
      <c r="E96" s="66">
        <v>5000000</v>
      </c>
      <c r="F96" s="67" t="s">
        <v>1</v>
      </c>
    </row>
    <row r="97" spans="1:7" ht="30" x14ac:dyDescent="0.25">
      <c r="A97" s="68">
        <v>1</v>
      </c>
      <c r="B97" s="68">
        <v>3</v>
      </c>
      <c r="C97" s="68"/>
      <c r="D97" s="9" t="s">
        <v>26</v>
      </c>
      <c r="E97" s="33">
        <f>E98+E102+E107+E110</f>
        <v>21000000</v>
      </c>
      <c r="F97" s="69"/>
    </row>
    <row r="98" spans="1:7" x14ac:dyDescent="0.25">
      <c r="A98" s="5">
        <v>1</v>
      </c>
      <c r="B98" s="5">
        <v>3</v>
      </c>
      <c r="C98" s="53" t="s">
        <v>85</v>
      </c>
      <c r="D98" s="70" t="s">
        <v>27</v>
      </c>
      <c r="E98" s="54">
        <f>SUM(E99:E101)</f>
        <v>2000000</v>
      </c>
      <c r="F98" s="12" t="s">
        <v>427</v>
      </c>
    </row>
    <row r="99" spans="1:7" x14ac:dyDescent="0.25">
      <c r="A99" s="46"/>
      <c r="B99" s="46"/>
      <c r="C99" s="46"/>
      <c r="D99" s="71" t="s">
        <v>144</v>
      </c>
      <c r="E99" s="50">
        <v>1000000</v>
      </c>
      <c r="F99" s="71" t="s">
        <v>426</v>
      </c>
    </row>
    <row r="100" spans="1:7" x14ac:dyDescent="0.25">
      <c r="A100" s="46"/>
      <c r="B100" s="46"/>
      <c r="C100" s="46"/>
      <c r="D100" s="71" t="s">
        <v>145</v>
      </c>
      <c r="E100" s="50">
        <v>500000</v>
      </c>
      <c r="F100" s="71" t="s">
        <v>1</v>
      </c>
    </row>
    <row r="101" spans="1:7" x14ac:dyDescent="0.25">
      <c r="A101" s="46"/>
      <c r="B101" s="46"/>
      <c r="C101" s="46"/>
      <c r="D101" s="71" t="s">
        <v>425</v>
      </c>
      <c r="E101" s="50">
        <v>500000</v>
      </c>
      <c r="F101" s="71" t="s">
        <v>1</v>
      </c>
    </row>
    <row r="102" spans="1:7" x14ac:dyDescent="0.25">
      <c r="A102" s="5">
        <v>1</v>
      </c>
      <c r="B102" s="5">
        <v>3</v>
      </c>
      <c r="C102" s="53" t="s">
        <v>89</v>
      </c>
      <c r="D102" s="5" t="s">
        <v>28</v>
      </c>
      <c r="E102" s="54">
        <f>SUM(E103:E106)</f>
        <v>12000000</v>
      </c>
      <c r="F102" s="5" t="s">
        <v>3</v>
      </c>
    </row>
    <row r="103" spans="1:7" hidden="1" x14ac:dyDescent="0.25">
      <c r="A103" s="46"/>
      <c r="B103" s="46"/>
      <c r="C103" s="46"/>
      <c r="D103" s="42" t="s">
        <v>146</v>
      </c>
      <c r="E103" s="50">
        <v>0</v>
      </c>
      <c r="F103" s="42" t="s">
        <v>6</v>
      </c>
    </row>
    <row r="104" spans="1:7" x14ac:dyDescent="0.25">
      <c r="A104" s="46"/>
      <c r="B104" s="46"/>
      <c r="C104" s="46"/>
      <c r="D104" s="42" t="s">
        <v>128</v>
      </c>
      <c r="E104" s="50">
        <v>0</v>
      </c>
      <c r="F104" s="73"/>
    </row>
    <row r="105" spans="1:7" x14ac:dyDescent="0.25">
      <c r="A105" s="46"/>
      <c r="B105" s="46"/>
      <c r="C105" s="46"/>
      <c r="D105" s="42" t="s">
        <v>145</v>
      </c>
      <c r="E105" s="50">
        <v>0</v>
      </c>
      <c r="F105" s="48" t="s">
        <v>6</v>
      </c>
    </row>
    <row r="106" spans="1:7" x14ac:dyDescent="0.25">
      <c r="A106" s="46"/>
      <c r="B106" s="46"/>
      <c r="C106" s="46"/>
      <c r="D106" s="42" t="s">
        <v>147</v>
      </c>
      <c r="E106" s="51">
        <v>12000000</v>
      </c>
      <c r="F106" s="48" t="s">
        <v>3</v>
      </c>
      <c r="G106" s="186"/>
    </row>
    <row r="107" spans="1:7" x14ac:dyDescent="0.25">
      <c r="A107" s="3">
        <v>1</v>
      </c>
      <c r="B107" s="3">
        <v>3</v>
      </c>
      <c r="C107" s="34" t="s">
        <v>98</v>
      </c>
      <c r="D107" s="2" t="s">
        <v>29</v>
      </c>
      <c r="E107" s="35">
        <f>SUM(E108:E109)</f>
        <v>3000000</v>
      </c>
      <c r="F107" s="3" t="s">
        <v>434</v>
      </c>
    </row>
    <row r="108" spans="1:7" x14ac:dyDescent="0.25">
      <c r="A108" s="46"/>
      <c r="B108" s="46"/>
      <c r="C108" s="46"/>
      <c r="D108" s="42" t="s">
        <v>144</v>
      </c>
      <c r="E108" s="50">
        <v>1500000</v>
      </c>
      <c r="F108" s="48" t="s">
        <v>2</v>
      </c>
    </row>
    <row r="109" spans="1:7" x14ac:dyDescent="0.25">
      <c r="A109" s="46"/>
      <c r="B109" s="46"/>
      <c r="C109" s="46"/>
      <c r="D109" s="42" t="s">
        <v>144</v>
      </c>
      <c r="E109" s="50">
        <v>1500000</v>
      </c>
      <c r="F109" s="48" t="s">
        <v>426</v>
      </c>
    </row>
    <row r="110" spans="1:7" x14ac:dyDescent="0.25">
      <c r="A110" s="3">
        <v>1</v>
      </c>
      <c r="B110" s="3">
        <v>3</v>
      </c>
      <c r="C110" s="34" t="s">
        <v>122</v>
      </c>
      <c r="D110" s="2" t="s">
        <v>30</v>
      </c>
      <c r="E110" s="35">
        <f>SUM(E111:E112)</f>
        <v>4000000</v>
      </c>
      <c r="F110" s="3" t="s">
        <v>1</v>
      </c>
    </row>
    <row r="111" spans="1:7" x14ac:dyDescent="0.25">
      <c r="A111" s="46"/>
      <c r="B111" s="46"/>
      <c r="C111" s="46"/>
      <c r="D111" s="42" t="s">
        <v>148</v>
      </c>
      <c r="E111" s="50">
        <v>4000000</v>
      </c>
      <c r="F111" s="74"/>
    </row>
    <row r="112" spans="1:7" hidden="1" x14ac:dyDescent="0.25">
      <c r="A112" s="46"/>
      <c r="B112" s="46"/>
      <c r="C112" s="46"/>
      <c r="D112" s="42"/>
      <c r="E112" s="50"/>
      <c r="F112" s="74"/>
    </row>
    <row r="113" spans="1:6" ht="15" hidden="1" customHeight="1" x14ac:dyDescent="0.25">
      <c r="A113" s="46"/>
      <c r="B113" s="46"/>
      <c r="C113" s="46"/>
      <c r="D113" s="42" t="s">
        <v>145</v>
      </c>
      <c r="E113" s="50">
        <v>0</v>
      </c>
      <c r="F113" s="42"/>
    </row>
    <row r="114" spans="1:6" ht="15" hidden="1" customHeight="1" x14ac:dyDescent="0.25">
      <c r="A114" s="46"/>
      <c r="B114" s="46"/>
      <c r="C114" s="46"/>
      <c r="D114" s="42" t="s">
        <v>128</v>
      </c>
      <c r="E114" s="50">
        <v>0</v>
      </c>
      <c r="F114" s="42"/>
    </row>
    <row r="115" spans="1:6" ht="15" hidden="1" customHeight="1" x14ac:dyDescent="0.25">
      <c r="A115" s="46"/>
      <c r="B115" s="46"/>
      <c r="C115" s="46"/>
      <c r="D115" s="42" t="s">
        <v>129</v>
      </c>
      <c r="E115" s="50">
        <v>0</v>
      </c>
      <c r="F115" s="63"/>
    </row>
    <row r="116" spans="1:6" ht="15" hidden="1" customHeight="1" x14ac:dyDescent="0.25">
      <c r="A116" s="46"/>
      <c r="B116" s="46"/>
      <c r="C116" s="46"/>
      <c r="D116" s="46" t="s">
        <v>150</v>
      </c>
      <c r="E116" s="75">
        <v>0</v>
      </c>
      <c r="F116" s="5"/>
    </row>
    <row r="117" spans="1:6" ht="30" x14ac:dyDescent="0.25">
      <c r="A117" s="68">
        <v>1</v>
      </c>
      <c r="B117" s="68">
        <v>4</v>
      </c>
      <c r="C117" s="68"/>
      <c r="D117" s="9" t="s">
        <v>31</v>
      </c>
      <c r="E117" s="33">
        <f>E118+E121+E124+E131+E137+E140</f>
        <v>46000000</v>
      </c>
      <c r="F117" s="68"/>
    </row>
    <row r="118" spans="1:6" ht="30" x14ac:dyDescent="0.25">
      <c r="A118" s="3">
        <v>1</v>
      </c>
      <c r="B118" s="3">
        <v>4</v>
      </c>
      <c r="C118" s="34" t="s">
        <v>85</v>
      </c>
      <c r="D118" s="2" t="s">
        <v>32</v>
      </c>
      <c r="E118" s="35">
        <f>SUM(E119:E120)</f>
        <v>3500000</v>
      </c>
      <c r="F118" s="3" t="s">
        <v>424</v>
      </c>
    </row>
    <row r="119" spans="1:6" x14ac:dyDescent="0.25">
      <c r="A119" s="46"/>
      <c r="B119" s="46"/>
      <c r="C119" s="46"/>
      <c r="D119" s="48" t="s">
        <v>128</v>
      </c>
      <c r="E119" s="49">
        <v>3500000</v>
      </c>
      <c r="F119" s="48" t="s">
        <v>424</v>
      </c>
    </row>
    <row r="120" spans="1:6" hidden="1" x14ac:dyDescent="0.25">
      <c r="A120" s="46"/>
      <c r="B120" s="46"/>
      <c r="C120" s="46"/>
      <c r="D120" s="48" t="s">
        <v>151</v>
      </c>
      <c r="E120" s="49">
        <v>0</v>
      </c>
      <c r="F120" s="48" t="s">
        <v>1</v>
      </c>
    </row>
    <row r="121" spans="1:6" x14ac:dyDescent="0.25">
      <c r="A121" s="5">
        <v>1</v>
      </c>
      <c r="B121" s="5">
        <v>4</v>
      </c>
      <c r="C121" s="53" t="s">
        <v>89</v>
      </c>
      <c r="D121" s="5" t="s">
        <v>33</v>
      </c>
      <c r="E121" s="54">
        <f>SUM(E122:E123)</f>
        <v>3000000</v>
      </c>
      <c r="F121" s="5" t="s">
        <v>1</v>
      </c>
    </row>
    <row r="122" spans="1:6" x14ac:dyDescent="0.25">
      <c r="A122" s="5"/>
      <c r="B122" s="5"/>
      <c r="C122" s="53"/>
      <c r="D122" s="48" t="s">
        <v>128</v>
      </c>
      <c r="E122" s="49">
        <v>3000000</v>
      </c>
      <c r="F122" s="48" t="s">
        <v>1</v>
      </c>
    </row>
    <row r="123" spans="1:6" hidden="1" x14ac:dyDescent="0.25">
      <c r="A123" s="5"/>
      <c r="B123" s="5"/>
      <c r="C123" s="53"/>
      <c r="D123" s="48" t="s">
        <v>145</v>
      </c>
      <c r="E123" s="49">
        <v>0</v>
      </c>
      <c r="F123" s="48" t="s">
        <v>1</v>
      </c>
    </row>
    <row r="124" spans="1:6" ht="35.25" customHeight="1" x14ac:dyDescent="0.25">
      <c r="A124" s="3">
        <v>1</v>
      </c>
      <c r="B124" s="3">
        <v>4</v>
      </c>
      <c r="C124" s="34" t="s">
        <v>98</v>
      </c>
      <c r="D124" s="2" t="s">
        <v>34</v>
      </c>
      <c r="E124" s="35">
        <f>SUM(E125:E130)</f>
        <v>8500000</v>
      </c>
      <c r="F124" s="2" t="s">
        <v>1</v>
      </c>
    </row>
    <row r="125" spans="1:6" hidden="1" x14ac:dyDescent="0.25">
      <c r="A125" s="46"/>
      <c r="B125" s="46"/>
      <c r="C125" s="46"/>
      <c r="D125" s="42" t="s">
        <v>152</v>
      </c>
      <c r="E125" s="50">
        <v>0</v>
      </c>
      <c r="F125" s="42" t="s">
        <v>6</v>
      </c>
    </row>
    <row r="126" spans="1:6" x14ac:dyDescent="0.25">
      <c r="A126" s="46"/>
      <c r="B126" s="46"/>
      <c r="C126" s="46"/>
      <c r="D126" s="42" t="s">
        <v>128</v>
      </c>
      <c r="E126" s="50">
        <v>1000000</v>
      </c>
      <c r="F126" s="42" t="s">
        <v>1</v>
      </c>
    </row>
    <row r="127" spans="1:6" x14ac:dyDescent="0.25">
      <c r="A127" s="46"/>
      <c r="B127" s="46"/>
      <c r="C127" s="46"/>
      <c r="D127" s="42" t="s">
        <v>153</v>
      </c>
      <c r="E127" s="49">
        <v>6000000</v>
      </c>
      <c r="F127" s="42" t="s">
        <v>1</v>
      </c>
    </row>
    <row r="128" spans="1:6" x14ac:dyDescent="0.25">
      <c r="A128" s="46"/>
      <c r="B128" s="46"/>
      <c r="C128" s="46"/>
      <c r="D128" s="42" t="s">
        <v>154</v>
      </c>
      <c r="E128" s="49">
        <v>1500000</v>
      </c>
      <c r="F128" s="42" t="s">
        <v>426</v>
      </c>
    </row>
    <row r="129" spans="1:6" hidden="1" x14ac:dyDescent="0.25">
      <c r="A129" s="46"/>
      <c r="B129" s="46"/>
      <c r="C129" s="46"/>
      <c r="D129" s="42" t="s">
        <v>155</v>
      </c>
      <c r="E129" s="49">
        <v>0</v>
      </c>
      <c r="F129" s="42" t="s">
        <v>1</v>
      </c>
    </row>
    <row r="130" spans="1:6" hidden="1" x14ac:dyDescent="0.25">
      <c r="A130" s="46"/>
      <c r="B130" s="46"/>
      <c r="C130" s="46"/>
      <c r="D130" s="42" t="s">
        <v>129</v>
      </c>
      <c r="E130" s="49">
        <v>0</v>
      </c>
      <c r="F130" s="42" t="s">
        <v>9</v>
      </c>
    </row>
    <row r="131" spans="1:6" x14ac:dyDescent="0.25">
      <c r="A131" s="5">
        <v>1</v>
      </c>
      <c r="B131" s="5">
        <v>4</v>
      </c>
      <c r="C131" s="53" t="s">
        <v>109</v>
      </c>
      <c r="D131" s="5" t="s">
        <v>35</v>
      </c>
      <c r="E131" s="54">
        <f>SUM(E132:E136)</f>
        <v>22400000</v>
      </c>
      <c r="F131" s="5" t="s">
        <v>156</v>
      </c>
    </row>
    <row r="132" spans="1:6" x14ac:dyDescent="0.25">
      <c r="A132" s="46"/>
      <c r="B132" s="46"/>
      <c r="C132" s="46"/>
      <c r="D132" s="42" t="s">
        <v>157</v>
      </c>
      <c r="E132" s="50">
        <v>20400000</v>
      </c>
      <c r="F132" s="42" t="s">
        <v>0</v>
      </c>
    </row>
    <row r="133" spans="1:6" hidden="1" x14ac:dyDescent="0.25">
      <c r="A133" s="46"/>
      <c r="B133" s="46"/>
      <c r="C133" s="46"/>
      <c r="D133" s="52" t="s">
        <v>158</v>
      </c>
      <c r="E133" s="50">
        <v>0</v>
      </c>
      <c r="F133" s="42" t="s">
        <v>6</v>
      </c>
    </row>
    <row r="134" spans="1:6" hidden="1" x14ac:dyDescent="0.25">
      <c r="A134" s="46"/>
      <c r="B134" s="46"/>
      <c r="C134" s="46"/>
      <c r="D134" s="42" t="s">
        <v>158</v>
      </c>
      <c r="E134" s="50">
        <v>0</v>
      </c>
      <c r="F134" s="42" t="s">
        <v>1</v>
      </c>
    </row>
    <row r="135" spans="1:6" x14ac:dyDescent="0.25">
      <c r="A135" s="46"/>
      <c r="B135" s="46"/>
      <c r="C135" s="46"/>
      <c r="D135" s="42" t="s">
        <v>128</v>
      </c>
      <c r="E135" s="50">
        <v>2000000</v>
      </c>
      <c r="F135" s="42" t="s">
        <v>2</v>
      </c>
    </row>
    <row r="136" spans="1:6" hidden="1" x14ac:dyDescent="0.25">
      <c r="A136" s="46"/>
      <c r="B136" s="46"/>
      <c r="C136" s="46"/>
      <c r="D136" s="42" t="s">
        <v>149</v>
      </c>
      <c r="E136" s="50">
        <v>0</v>
      </c>
      <c r="F136" s="42" t="s">
        <v>1</v>
      </c>
    </row>
    <row r="137" spans="1:6" ht="30" x14ac:dyDescent="0.25">
      <c r="A137" s="3">
        <v>1</v>
      </c>
      <c r="B137" s="3">
        <v>4</v>
      </c>
      <c r="C137" s="34" t="s">
        <v>159</v>
      </c>
      <c r="D137" s="2" t="s">
        <v>36</v>
      </c>
      <c r="E137" s="35">
        <f>SUM(E138:E139)</f>
        <v>2000000</v>
      </c>
      <c r="F137" s="3" t="s">
        <v>1</v>
      </c>
    </row>
    <row r="138" spans="1:6" x14ac:dyDescent="0.25">
      <c r="A138" s="46"/>
      <c r="B138" s="46"/>
      <c r="C138" s="46"/>
      <c r="D138" s="42" t="s">
        <v>128</v>
      </c>
      <c r="E138" s="50">
        <v>1000000</v>
      </c>
      <c r="F138" s="76"/>
    </row>
    <row r="139" spans="1:6" x14ac:dyDescent="0.25">
      <c r="A139" s="46"/>
      <c r="B139" s="46"/>
      <c r="C139" s="46"/>
      <c r="D139" s="42" t="s">
        <v>152</v>
      </c>
      <c r="E139" s="50">
        <v>1000000</v>
      </c>
      <c r="F139" s="76"/>
    </row>
    <row r="140" spans="1:6" x14ac:dyDescent="0.25">
      <c r="A140" s="5">
        <v>1</v>
      </c>
      <c r="B140" s="5">
        <v>4</v>
      </c>
      <c r="C140" s="53" t="s">
        <v>160</v>
      </c>
      <c r="D140" s="5" t="s">
        <v>37</v>
      </c>
      <c r="E140" s="54">
        <f>SUM(E141:E143)</f>
        <v>6600000</v>
      </c>
      <c r="F140" s="5" t="s">
        <v>0</v>
      </c>
    </row>
    <row r="141" spans="1:6" x14ac:dyDescent="0.25">
      <c r="A141" s="46"/>
      <c r="B141" s="46"/>
      <c r="C141" s="46"/>
      <c r="D141" s="46" t="s">
        <v>161</v>
      </c>
      <c r="E141" s="50">
        <v>6600000</v>
      </c>
      <c r="F141" s="46" t="s">
        <v>0</v>
      </c>
    </row>
    <row r="142" spans="1:6" hidden="1" x14ac:dyDescent="0.25">
      <c r="A142" s="46"/>
      <c r="B142" s="46"/>
      <c r="C142" s="46"/>
      <c r="D142" s="77" t="s">
        <v>162</v>
      </c>
      <c r="E142" s="49">
        <v>0</v>
      </c>
      <c r="F142" s="77"/>
    </row>
    <row r="143" spans="1:6" hidden="1" x14ac:dyDescent="0.25">
      <c r="A143" s="46"/>
      <c r="B143" s="46"/>
      <c r="C143" s="46"/>
      <c r="D143" s="46" t="s">
        <v>129</v>
      </c>
      <c r="E143" s="75">
        <v>0</v>
      </c>
      <c r="F143" s="46" t="s">
        <v>6</v>
      </c>
    </row>
    <row r="144" spans="1:6" ht="37.5" hidden="1" customHeight="1" x14ac:dyDescent="0.25">
      <c r="A144" s="3">
        <v>1</v>
      </c>
      <c r="B144" s="3">
        <v>4</v>
      </c>
      <c r="C144" s="34" t="s">
        <v>163</v>
      </c>
      <c r="D144" s="78" t="s">
        <v>164</v>
      </c>
      <c r="E144" s="35">
        <f>E145</f>
        <v>0</v>
      </c>
      <c r="F144" s="3"/>
    </row>
    <row r="145" spans="1:6" hidden="1" x14ac:dyDescent="0.25">
      <c r="A145" s="46"/>
      <c r="B145" s="46"/>
      <c r="C145" s="46"/>
      <c r="D145" s="46" t="s">
        <v>165</v>
      </c>
      <c r="E145" s="75"/>
      <c r="F145" s="46"/>
    </row>
    <row r="146" spans="1:6" hidden="1" x14ac:dyDescent="0.25">
      <c r="A146" s="46"/>
      <c r="B146" s="46"/>
      <c r="C146" s="46"/>
      <c r="D146" s="46"/>
      <c r="E146" s="75"/>
      <c r="F146" s="46"/>
    </row>
    <row r="147" spans="1:6" hidden="1" x14ac:dyDescent="0.25">
      <c r="A147" s="8">
        <v>1</v>
      </c>
      <c r="B147" s="8">
        <v>5</v>
      </c>
      <c r="C147" s="8"/>
      <c r="D147" s="10" t="s">
        <v>38</v>
      </c>
      <c r="E147" s="57">
        <f>E148+E151+E153</f>
        <v>0</v>
      </c>
      <c r="F147" s="8"/>
    </row>
    <row r="148" spans="1:6" ht="29.25" hidden="1" customHeight="1" x14ac:dyDescent="0.25">
      <c r="A148" s="3">
        <v>1</v>
      </c>
      <c r="B148" s="3">
        <v>5</v>
      </c>
      <c r="C148" s="34" t="s">
        <v>98</v>
      </c>
      <c r="D148" s="2" t="s">
        <v>39</v>
      </c>
      <c r="E148" s="35">
        <f>SUM(E149:E150)</f>
        <v>0</v>
      </c>
      <c r="F148" s="3" t="s">
        <v>1</v>
      </c>
    </row>
    <row r="149" spans="1:6" hidden="1" x14ac:dyDescent="0.25">
      <c r="A149" s="46"/>
      <c r="B149" s="46"/>
      <c r="C149" s="46"/>
      <c r="D149" s="42" t="s">
        <v>144</v>
      </c>
      <c r="E149" s="50">
        <v>0</v>
      </c>
      <c r="F149" s="42"/>
    </row>
    <row r="150" spans="1:6" hidden="1" x14ac:dyDescent="0.25">
      <c r="A150" s="46"/>
      <c r="B150" s="46"/>
      <c r="C150" s="46"/>
      <c r="D150" s="42" t="s">
        <v>166</v>
      </c>
      <c r="E150" s="50">
        <v>0</v>
      </c>
      <c r="F150" s="42"/>
    </row>
    <row r="151" spans="1:6" hidden="1" x14ac:dyDescent="0.25">
      <c r="A151" s="5">
        <v>1</v>
      </c>
      <c r="B151" s="5">
        <v>5</v>
      </c>
      <c r="C151" s="53" t="s">
        <v>125</v>
      </c>
      <c r="D151" s="79" t="s">
        <v>40</v>
      </c>
      <c r="E151" s="64">
        <f>E152</f>
        <v>0</v>
      </c>
      <c r="F151" s="63" t="s">
        <v>1</v>
      </c>
    </row>
    <row r="152" spans="1:6" hidden="1" x14ac:dyDescent="0.25">
      <c r="A152" s="5"/>
      <c r="B152" s="5"/>
      <c r="C152" s="53"/>
      <c r="D152" s="80" t="s">
        <v>167</v>
      </c>
      <c r="E152" s="50">
        <v>0</v>
      </c>
      <c r="F152" s="42"/>
    </row>
    <row r="153" spans="1:6" hidden="1" x14ac:dyDescent="0.25">
      <c r="A153" s="3">
        <v>1</v>
      </c>
      <c r="B153" s="81">
        <v>5</v>
      </c>
      <c r="C153" s="82" t="s">
        <v>159</v>
      </c>
      <c r="D153" s="83" t="s">
        <v>168</v>
      </c>
      <c r="E153" s="84">
        <f>E154</f>
        <v>0</v>
      </c>
      <c r="F153" s="81" t="s">
        <v>169</v>
      </c>
    </row>
    <row r="154" spans="1:6" hidden="1" x14ac:dyDescent="0.25">
      <c r="A154" s="46"/>
      <c r="B154" s="85"/>
      <c r="C154" s="85"/>
      <c r="D154" s="86" t="s">
        <v>170</v>
      </c>
      <c r="E154" s="87">
        <v>0</v>
      </c>
      <c r="F154" s="85"/>
    </row>
    <row r="155" spans="1:6" x14ac:dyDescent="0.25">
      <c r="A155" s="11">
        <v>2</v>
      </c>
      <c r="B155" s="11"/>
      <c r="C155" s="11"/>
      <c r="D155" s="11" t="s">
        <v>41</v>
      </c>
      <c r="E155" s="88">
        <f>E156+E194+E249+E272+E304+E311+E325+E326</f>
        <v>915222000</v>
      </c>
      <c r="F155" s="11"/>
    </row>
    <row r="156" spans="1:6" x14ac:dyDescent="0.25">
      <c r="A156" s="8">
        <v>2</v>
      </c>
      <c r="B156" s="8">
        <v>1</v>
      </c>
      <c r="C156" s="8"/>
      <c r="D156" s="10" t="s">
        <v>42</v>
      </c>
      <c r="E156" s="57">
        <f>E157+E165+E167+E169+E174+E177+E180+E187+E192</f>
        <v>143622000</v>
      </c>
      <c r="F156" s="8"/>
    </row>
    <row r="157" spans="1:6" ht="36" customHeight="1" x14ac:dyDescent="0.25">
      <c r="A157" s="3">
        <v>2</v>
      </c>
      <c r="B157" s="3">
        <v>1</v>
      </c>
      <c r="C157" s="34" t="s">
        <v>85</v>
      </c>
      <c r="D157" s="2" t="s">
        <v>43</v>
      </c>
      <c r="E157" s="35">
        <f>SUM(E158:E161)</f>
        <v>32400000</v>
      </c>
      <c r="F157" s="2" t="s">
        <v>3</v>
      </c>
    </row>
    <row r="158" spans="1:6" x14ac:dyDescent="0.25">
      <c r="A158" s="46"/>
      <c r="B158" s="46"/>
      <c r="C158" s="46"/>
      <c r="D158" s="42" t="s">
        <v>171</v>
      </c>
      <c r="E158" s="50">
        <v>18000000</v>
      </c>
      <c r="F158" s="42" t="s">
        <v>3</v>
      </c>
    </row>
    <row r="159" spans="1:6" x14ac:dyDescent="0.25">
      <c r="A159" s="46"/>
      <c r="B159" s="46"/>
      <c r="C159" s="46"/>
      <c r="D159" s="42" t="s">
        <v>435</v>
      </c>
      <c r="E159" s="50">
        <v>12000000</v>
      </c>
      <c r="F159" s="42" t="s">
        <v>3</v>
      </c>
    </row>
    <row r="160" spans="1:6" x14ac:dyDescent="0.25">
      <c r="A160" s="46"/>
      <c r="B160" s="46"/>
      <c r="C160" s="46"/>
      <c r="D160" s="42" t="s">
        <v>173</v>
      </c>
      <c r="E160" s="50">
        <v>1200000</v>
      </c>
      <c r="F160" s="42" t="s">
        <v>3</v>
      </c>
    </row>
    <row r="161" spans="1:6" x14ac:dyDescent="0.25">
      <c r="A161" s="46"/>
      <c r="B161" s="46"/>
      <c r="C161" s="46"/>
      <c r="D161" s="42" t="s">
        <v>174</v>
      </c>
      <c r="E161" s="50">
        <v>1200000</v>
      </c>
      <c r="F161" s="42" t="s">
        <v>3</v>
      </c>
    </row>
    <row r="162" spans="1:6" hidden="1" x14ac:dyDescent="0.25">
      <c r="A162" s="5">
        <v>2</v>
      </c>
      <c r="B162" s="5">
        <v>1</v>
      </c>
      <c r="C162" s="53" t="s">
        <v>89</v>
      </c>
      <c r="D162" s="5" t="s">
        <v>175</v>
      </c>
      <c r="E162" s="54"/>
      <c r="F162" s="5"/>
    </row>
    <row r="163" spans="1:6" hidden="1" x14ac:dyDescent="0.25">
      <c r="A163" s="5"/>
      <c r="B163" s="5"/>
      <c r="C163" s="53"/>
      <c r="D163" s="5"/>
      <c r="E163" s="54"/>
      <c r="F163" s="5"/>
    </row>
    <row r="164" spans="1:6" hidden="1" x14ac:dyDescent="0.25">
      <c r="A164" s="5"/>
      <c r="B164" s="5"/>
      <c r="C164" s="53"/>
      <c r="D164" s="5"/>
      <c r="E164" s="54"/>
      <c r="F164" s="5"/>
    </row>
    <row r="165" spans="1:6" hidden="1" x14ac:dyDescent="0.25">
      <c r="A165" s="89">
        <v>2</v>
      </c>
      <c r="B165" s="89">
        <v>1</v>
      </c>
      <c r="C165" s="90" t="s">
        <v>98</v>
      </c>
      <c r="D165" s="89" t="s">
        <v>176</v>
      </c>
      <c r="E165" s="91">
        <f>E166</f>
        <v>0</v>
      </c>
      <c r="F165" s="5" t="s">
        <v>3</v>
      </c>
    </row>
    <row r="166" spans="1:6" hidden="1" x14ac:dyDescent="0.25">
      <c r="A166" s="89"/>
      <c r="B166" s="89"/>
      <c r="C166" s="90"/>
      <c r="D166" s="48" t="s">
        <v>177</v>
      </c>
      <c r="E166" s="49">
        <v>0</v>
      </c>
      <c r="F166" s="5"/>
    </row>
    <row r="167" spans="1:6" ht="29.25" customHeight="1" x14ac:dyDescent="0.25">
      <c r="A167" s="3">
        <v>2</v>
      </c>
      <c r="B167" s="3">
        <v>1</v>
      </c>
      <c r="C167" s="34" t="s">
        <v>109</v>
      </c>
      <c r="D167" s="2" t="s">
        <v>44</v>
      </c>
      <c r="E167" s="35">
        <f>E168</f>
        <v>2000000</v>
      </c>
      <c r="F167" s="3" t="s">
        <v>1</v>
      </c>
    </row>
    <row r="168" spans="1:6" ht="18.75" customHeight="1" x14ac:dyDescent="0.25">
      <c r="A168" s="5"/>
      <c r="B168" s="5"/>
      <c r="C168" s="53"/>
      <c r="D168" s="71" t="s">
        <v>178</v>
      </c>
      <c r="E168" s="50">
        <v>2000000</v>
      </c>
      <c r="F168" s="92"/>
    </row>
    <row r="169" spans="1:6" ht="30" x14ac:dyDescent="0.25">
      <c r="A169" s="3">
        <v>2</v>
      </c>
      <c r="B169" s="3">
        <v>1</v>
      </c>
      <c r="C169" s="34" t="s">
        <v>122</v>
      </c>
      <c r="D169" s="2" t="s">
        <v>45</v>
      </c>
      <c r="E169" s="35">
        <f>E170+E171</f>
        <v>3000000</v>
      </c>
      <c r="F169" s="3" t="s">
        <v>9</v>
      </c>
    </row>
    <row r="170" spans="1:6" x14ac:dyDescent="0.25">
      <c r="A170" s="3"/>
      <c r="B170" s="3"/>
      <c r="C170" s="34"/>
      <c r="D170" s="43" t="s">
        <v>179</v>
      </c>
      <c r="E170" s="37">
        <v>1000000</v>
      </c>
      <c r="F170" s="36" t="s">
        <v>9</v>
      </c>
    </row>
    <row r="171" spans="1:6" x14ac:dyDescent="0.25">
      <c r="A171" s="3"/>
      <c r="B171" s="3"/>
      <c r="C171" s="34"/>
      <c r="D171" s="43" t="s">
        <v>179</v>
      </c>
      <c r="E171" s="37">
        <v>2000000</v>
      </c>
      <c r="F171" s="36" t="s">
        <v>433</v>
      </c>
    </row>
    <row r="172" spans="1:6" hidden="1" x14ac:dyDescent="0.25">
      <c r="A172" s="3"/>
      <c r="B172" s="3"/>
      <c r="C172" s="34"/>
      <c r="D172" s="43" t="s">
        <v>180</v>
      </c>
      <c r="E172" s="37">
        <v>0</v>
      </c>
      <c r="F172" s="36"/>
    </row>
    <row r="173" spans="1:6" hidden="1" x14ac:dyDescent="0.25">
      <c r="A173" s="3"/>
      <c r="B173" s="3"/>
      <c r="C173" s="34"/>
      <c r="D173" s="43" t="s">
        <v>181</v>
      </c>
      <c r="E173" s="37">
        <v>0</v>
      </c>
      <c r="F173" s="36"/>
    </row>
    <row r="174" spans="1:6" s="185" customFormat="1" ht="45" x14ac:dyDescent="0.25">
      <c r="A174" s="3">
        <v>2</v>
      </c>
      <c r="B174" s="3">
        <v>1</v>
      </c>
      <c r="C174" s="34" t="s">
        <v>125</v>
      </c>
      <c r="D174" s="2" t="s">
        <v>182</v>
      </c>
      <c r="E174" s="35">
        <f>SUM(E175:E176)</f>
        <v>53000000</v>
      </c>
      <c r="F174" s="3" t="s">
        <v>3</v>
      </c>
    </row>
    <row r="175" spans="1:6" x14ac:dyDescent="0.25">
      <c r="A175" s="3"/>
      <c r="B175" s="3"/>
      <c r="C175" s="34"/>
      <c r="D175" s="43" t="s">
        <v>464</v>
      </c>
      <c r="E175" s="40">
        <v>28000000</v>
      </c>
      <c r="F175" s="36"/>
    </row>
    <row r="176" spans="1:6" x14ac:dyDescent="0.25">
      <c r="A176" s="3"/>
      <c r="B176" s="3"/>
      <c r="C176" s="34"/>
      <c r="D176" s="43" t="s">
        <v>463</v>
      </c>
      <c r="E176" s="40">
        <v>25000000</v>
      </c>
      <c r="F176" s="76"/>
    </row>
    <row r="177" spans="1:6" s="185" customFormat="1" ht="30" hidden="1" x14ac:dyDescent="0.25">
      <c r="A177" s="3">
        <v>2</v>
      </c>
      <c r="B177" s="3">
        <v>1</v>
      </c>
      <c r="C177" s="34" t="s">
        <v>159</v>
      </c>
      <c r="D177" s="2" t="s">
        <v>188</v>
      </c>
      <c r="E177" s="35">
        <f>SUM(E178:E179)</f>
        <v>0</v>
      </c>
      <c r="F177" s="3" t="s">
        <v>3</v>
      </c>
    </row>
    <row r="178" spans="1:6" hidden="1" x14ac:dyDescent="0.25">
      <c r="A178" s="3"/>
      <c r="B178" s="3"/>
      <c r="C178" s="34"/>
      <c r="D178" s="43" t="s">
        <v>189</v>
      </c>
      <c r="E178" s="37">
        <v>0</v>
      </c>
      <c r="F178" s="3"/>
    </row>
    <row r="179" spans="1:6" hidden="1" x14ac:dyDescent="0.25">
      <c r="A179" s="3"/>
      <c r="B179" s="3"/>
      <c r="C179" s="34"/>
      <c r="D179" s="43" t="s">
        <v>190</v>
      </c>
      <c r="E179" s="37">
        <v>0</v>
      </c>
      <c r="F179" s="3"/>
    </row>
    <row r="180" spans="1:6" x14ac:dyDescent="0.25">
      <c r="A180" s="5">
        <v>2</v>
      </c>
      <c r="B180" s="5">
        <v>1</v>
      </c>
      <c r="C180" s="53" t="s">
        <v>160</v>
      </c>
      <c r="D180" s="12" t="s">
        <v>46</v>
      </c>
      <c r="E180" s="54">
        <f>SUM(E181:E186)</f>
        <v>37322000</v>
      </c>
      <c r="F180" s="5" t="s">
        <v>458</v>
      </c>
    </row>
    <row r="181" spans="1:6" x14ac:dyDescent="0.25">
      <c r="A181" s="5"/>
      <c r="B181" s="5"/>
      <c r="C181" s="53"/>
      <c r="D181" s="71" t="s">
        <v>191</v>
      </c>
      <c r="E181" s="50">
        <v>28800000</v>
      </c>
      <c r="F181" s="42" t="s">
        <v>3</v>
      </c>
    </row>
    <row r="182" spans="1:6" hidden="1" x14ac:dyDescent="0.25">
      <c r="A182" s="5"/>
      <c r="B182" s="5"/>
      <c r="C182" s="53"/>
      <c r="D182" s="71" t="s">
        <v>192</v>
      </c>
      <c r="E182" s="50">
        <v>0</v>
      </c>
      <c r="F182" s="42"/>
    </row>
    <row r="183" spans="1:6" x14ac:dyDescent="0.25">
      <c r="A183" s="5"/>
      <c r="B183" s="5"/>
      <c r="C183" s="53"/>
      <c r="D183" s="71" t="s">
        <v>149</v>
      </c>
      <c r="E183" s="50">
        <v>2000000</v>
      </c>
      <c r="F183" s="42" t="s">
        <v>0</v>
      </c>
    </row>
    <row r="184" spans="1:6" ht="12.75" customHeight="1" x14ac:dyDescent="0.25">
      <c r="A184" s="5"/>
      <c r="B184" s="5"/>
      <c r="C184" s="53"/>
      <c r="D184" s="71" t="s">
        <v>193</v>
      </c>
      <c r="E184" s="50">
        <v>522000</v>
      </c>
      <c r="F184" s="42" t="s">
        <v>3</v>
      </c>
    </row>
    <row r="185" spans="1:6" ht="12.75" customHeight="1" x14ac:dyDescent="0.25">
      <c r="A185" s="5"/>
      <c r="B185" s="5"/>
      <c r="C185" s="53"/>
      <c r="D185" s="71" t="s">
        <v>194</v>
      </c>
      <c r="E185" s="50">
        <v>3000000</v>
      </c>
      <c r="F185" s="42" t="s">
        <v>3</v>
      </c>
    </row>
    <row r="186" spans="1:6" x14ac:dyDescent="0.25">
      <c r="A186" s="5"/>
      <c r="B186" s="5"/>
      <c r="C186" s="53"/>
      <c r="D186" s="71" t="s">
        <v>195</v>
      </c>
      <c r="E186" s="50">
        <v>3000000</v>
      </c>
      <c r="F186" s="42" t="s">
        <v>3</v>
      </c>
    </row>
    <row r="187" spans="1:6" x14ac:dyDescent="0.25">
      <c r="A187" s="5">
        <v>2</v>
      </c>
      <c r="B187" s="5">
        <v>1</v>
      </c>
      <c r="C187" s="53" t="s">
        <v>196</v>
      </c>
      <c r="D187" s="12" t="s">
        <v>197</v>
      </c>
      <c r="E187" s="54">
        <f>SUM(E188:E190)</f>
        <v>5900000</v>
      </c>
      <c r="F187" s="5" t="s">
        <v>3</v>
      </c>
    </row>
    <row r="188" spans="1:6" x14ac:dyDescent="0.25">
      <c r="A188" s="5"/>
      <c r="B188" s="5"/>
      <c r="C188" s="53"/>
      <c r="D188" s="71" t="s">
        <v>417</v>
      </c>
      <c r="E188" s="50">
        <v>3000000</v>
      </c>
      <c r="F188" s="42"/>
    </row>
    <row r="189" spans="1:6" x14ac:dyDescent="0.25">
      <c r="A189" s="5"/>
      <c r="B189" s="5"/>
      <c r="C189" s="53"/>
      <c r="D189" s="71" t="s">
        <v>418</v>
      </c>
      <c r="E189" s="50">
        <v>2000000</v>
      </c>
      <c r="F189" s="42"/>
    </row>
    <row r="190" spans="1:6" x14ac:dyDescent="0.25">
      <c r="A190" s="5"/>
      <c r="B190" s="5"/>
      <c r="C190" s="53"/>
      <c r="D190" s="71" t="s">
        <v>419</v>
      </c>
      <c r="E190" s="50">
        <v>900000</v>
      </c>
      <c r="F190" s="42"/>
    </row>
    <row r="191" spans="1:6" hidden="1" x14ac:dyDescent="0.25">
      <c r="A191" s="5"/>
      <c r="B191" s="5"/>
      <c r="C191" s="53"/>
      <c r="D191" s="71" t="s">
        <v>198</v>
      </c>
      <c r="E191" s="50">
        <v>0</v>
      </c>
      <c r="F191" s="5"/>
    </row>
    <row r="192" spans="1:6" x14ac:dyDescent="0.25">
      <c r="A192" s="5">
        <v>2</v>
      </c>
      <c r="B192" s="5">
        <v>1</v>
      </c>
      <c r="C192" s="53" t="s">
        <v>199</v>
      </c>
      <c r="D192" s="12" t="s">
        <v>200</v>
      </c>
      <c r="E192" s="54">
        <f>E193</f>
        <v>10000000</v>
      </c>
      <c r="F192" s="5" t="s">
        <v>3</v>
      </c>
    </row>
    <row r="193" spans="1:8" x14ac:dyDescent="0.25">
      <c r="A193" s="5"/>
      <c r="B193" s="5"/>
      <c r="C193" s="53"/>
      <c r="D193" s="71" t="s">
        <v>201</v>
      </c>
      <c r="E193" s="50">
        <v>10000000</v>
      </c>
      <c r="F193" s="42" t="s">
        <v>432</v>
      </c>
    </row>
    <row r="194" spans="1:8" x14ac:dyDescent="0.25">
      <c r="A194" s="8">
        <v>2</v>
      </c>
      <c r="B194" s="8">
        <v>2</v>
      </c>
      <c r="C194" s="8"/>
      <c r="D194" s="6" t="s">
        <v>47</v>
      </c>
      <c r="E194" s="57">
        <f>E195+E199+E206+E209+E239+E241+E243</f>
        <v>214600000</v>
      </c>
      <c r="F194" s="8" t="s">
        <v>3</v>
      </c>
    </row>
    <row r="195" spans="1:8" hidden="1" x14ac:dyDescent="0.25">
      <c r="A195" s="5">
        <v>2</v>
      </c>
      <c r="B195" s="5">
        <v>2</v>
      </c>
      <c r="C195" s="53" t="s">
        <v>85</v>
      </c>
      <c r="D195" s="12" t="s">
        <v>202</v>
      </c>
      <c r="E195" s="54">
        <f>SUM(E196:E198)</f>
        <v>0</v>
      </c>
      <c r="F195" s="5" t="s">
        <v>3</v>
      </c>
    </row>
    <row r="196" spans="1:8" hidden="1" x14ac:dyDescent="0.25">
      <c r="A196" s="46"/>
      <c r="B196" s="46"/>
      <c r="C196" s="46"/>
      <c r="D196" s="71" t="s">
        <v>203</v>
      </c>
      <c r="E196" s="51">
        <v>0</v>
      </c>
      <c r="F196" s="42"/>
    </row>
    <row r="197" spans="1:8" hidden="1" x14ac:dyDescent="0.25">
      <c r="A197" s="46"/>
      <c r="B197" s="46"/>
      <c r="C197" s="46"/>
      <c r="D197" s="71" t="s">
        <v>204</v>
      </c>
      <c r="E197" s="51">
        <v>0</v>
      </c>
      <c r="F197" s="42"/>
    </row>
    <row r="198" spans="1:8" hidden="1" x14ac:dyDescent="0.25">
      <c r="A198" s="46"/>
      <c r="B198" s="46"/>
      <c r="C198" s="46"/>
      <c r="D198" s="71" t="s">
        <v>205</v>
      </c>
      <c r="E198" s="50">
        <v>0</v>
      </c>
      <c r="F198" s="42"/>
    </row>
    <row r="199" spans="1:8" x14ac:dyDescent="0.25">
      <c r="A199" s="5">
        <v>2</v>
      </c>
      <c r="B199" s="5">
        <v>2</v>
      </c>
      <c r="C199" s="53" t="s">
        <v>89</v>
      </c>
      <c r="D199" s="12" t="s">
        <v>48</v>
      </c>
      <c r="E199" s="54">
        <f>SUM(E200:E205)</f>
        <v>147600000</v>
      </c>
      <c r="F199" s="5" t="s">
        <v>3</v>
      </c>
    </row>
    <row r="200" spans="1:8" x14ac:dyDescent="0.25">
      <c r="A200" s="46"/>
      <c r="B200" s="46"/>
      <c r="C200" s="46"/>
      <c r="D200" s="71" t="s">
        <v>206</v>
      </c>
      <c r="E200" s="50">
        <v>40000000</v>
      </c>
      <c r="F200" s="42" t="s">
        <v>3</v>
      </c>
    </row>
    <row r="201" spans="1:8" x14ac:dyDescent="0.25">
      <c r="A201" s="46"/>
      <c r="B201" s="46"/>
      <c r="C201" s="46"/>
      <c r="D201" s="71" t="s">
        <v>402</v>
      </c>
      <c r="E201" s="50">
        <v>36000000</v>
      </c>
      <c r="F201" s="42" t="s">
        <v>3</v>
      </c>
      <c r="H201">
        <f>200000*15*12</f>
        <v>36000000</v>
      </c>
    </row>
    <row r="202" spans="1:8" hidden="1" x14ac:dyDescent="0.25">
      <c r="A202" s="97"/>
      <c r="B202" s="97"/>
      <c r="C202" s="97"/>
      <c r="D202" s="43" t="s">
        <v>207</v>
      </c>
      <c r="E202" s="37">
        <v>0</v>
      </c>
      <c r="F202" s="36" t="s">
        <v>3</v>
      </c>
    </row>
    <row r="203" spans="1:8" x14ac:dyDescent="0.25">
      <c r="A203" s="46"/>
      <c r="B203" s="46"/>
      <c r="C203" s="46"/>
      <c r="D203" s="98" t="s">
        <v>209</v>
      </c>
      <c r="E203" s="50">
        <v>2000000</v>
      </c>
      <c r="F203" s="42"/>
    </row>
    <row r="204" spans="1:8" x14ac:dyDescent="0.25">
      <c r="A204" s="46"/>
      <c r="B204" s="46"/>
      <c r="C204" s="46"/>
      <c r="D204" s="98" t="s">
        <v>210</v>
      </c>
      <c r="E204" s="50">
        <v>9600000</v>
      </c>
      <c r="F204" s="42" t="s">
        <v>3</v>
      </c>
    </row>
    <row r="205" spans="1:8" ht="16.5" customHeight="1" x14ac:dyDescent="0.25">
      <c r="A205" s="46"/>
      <c r="B205" s="46"/>
      <c r="C205" s="46"/>
      <c r="D205" s="71" t="s">
        <v>211</v>
      </c>
      <c r="E205" s="50">
        <v>60000000</v>
      </c>
      <c r="F205" s="42" t="s">
        <v>3</v>
      </c>
    </row>
    <row r="206" spans="1:8" x14ac:dyDescent="0.25">
      <c r="A206" s="5">
        <v>2</v>
      </c>
      <c r="B206" s="5">
        <v>2</v>
      </c>
      <c r="C206" s="53" t="s">
        <v>98</v>
      </c>
      <c r="D206" s="12" t="s">
        <v>49</v>
      </c>
      <c r="E206" s="54">
        <f>SUM(E207:E208)</f>
        <v>4000000</v>
      </c>
      <c r="F206" s="5" t="s">
        <v>3</v>
      </c>
    </row>
    <row r="207" spans="1:8" x14ac:dyDescent="0.25">
      <c r="A207" s="5"/>
      <c r="B207" s="5"/>
      <c r="C207" s="53"/>
      <c r="D207" s="71" t="s">
        <v>212</v>
      </c>
      <c r="E207" s="50">
        <v>2000000</v>
      </c>
      <c r="F207" s="42"/>
    </row>
    <row r="208" spans="1:8" x14ac:dyDescent="0.25">
      <c r="A208" s="5"/>
      <c r="B208" s="5"/>
      <c r="C208" s="53"/>
      <c r="D208" s="71" t="s">
        <v>213</v>
      </c>
      <c r="E208" s="50">
        <v>2000000</v>
      </c>
      <c r="F208" s="42"/>
    </row>
    <row r="209" spans="1:6" hidden="1" x14ac:dyDescent="0.25">
      <c r="A209" s="5">
        <v>2</v>
      </c>
      <c r="B209" s="5">
        <v>2</v>
      </c>
      <c r="C209" s="53" t="s">
        <v>109</v>
      </c>
      <c r="D209" s="12" t="s">
        <v>50</v>
      </c>
      <c r="E209" s="54">
        <f>E210+E214+E218+E219+E220+E221+E222+E227+E230+E234+E235+E236</f>
        <v>0</v>
      </c>
      <c r="F209" s="5" t="s">
        <v>3</v>
      </c>
    </row>
    <row r="210" spans="1:6" ht="30" hidden="1" x14ac:dyDescent="0.25">
      <c r="A210" s="5"/>
      <c r="B210" s="3"/>
      <c r="C210" s="34"/>
      <c r="D210" s="99" t="s">
        <v>214</v>
      </c>
      <c r="E210" s="100"/>
      <c r="F210" s="76" t="s">
        <v>3</v>
      </c>
    </row>
    <row r="211" spans="1:6" hidden="1" x14ac:dyDescent="0.25">
      <c r="A211" s="5"/>
      <c r="B211" s="3"/>
      <c r="C211" s="34"/>
      <c r="D211" s="101" t="s">
        <v>215</v>
      </c>
      <c r="E211" s="37"/>
      <c r="F211" s="36" t="s">
        <v>3</v>
      </c>
    </row>
    <row r="212" spans="1:6" hidden="1" x14ac:dyDescent="0.25">
      <c r="A212" s="5"/>
      <c r="B212" s="3"/>
      <c r="C212" s="34"/>
      <c r="D212" s="101" t="s">
        <v>216</v>
      </c>
      <c r="E212" s="37"/>
      <c r="F212" s="36" t="s">
        <v>3</v>
      </c>
    </row>
    <row r="213" spans="1:6" hidden="1" x14ac:dyDescent="0.25">
      <c r="A213" s="5"/>
      <c r="B213" s="3"/>
      <c r="C213" s="34"/>
      <c r="D213" s="101" t="s">
        <v>217</v>
      </c>
      <c r="E213" s="37">
        <v>0</v>
      </c>
      <c r="F213" s="36" t="s">
        <v>3</v>
      </c>
    </row>
    <row r="214" spans="1:6" hidden="1" x14ac:dyDescent="0.25">
      <c r="A214" s="5"/>
      <c r="B214" s="3"/>
      <c r="C214" s="34"/>
      <c r="D214" s="102" t="s">
        <v>218</v>
      </c>
      <c r="E214" s="100"/>
      <c r="F214" s="76" t="s">
        <v>3</v>
      </c>
    </row>
    <row r="215" spans="1:6" hidden="1" x14ac:dyDescent="0.25">
      <c r="A215" s="5"/>
      <c r="B215" s="3"/>
      <c r="C215" s="34"/>
      <c r="D215" s="101" t="s">
        <v>219</v>
      </c>
      <c r="E215" s="37"/>
      <c r="F215" s="36" t="s">
        <v>3</v>
      </c>
    </row>
    <row r="216" spans="1:6" hidden="1" x14ac:dyDescent="0.25">
      <c r="A216" s="5"/>
      <c r="B216" s="3"/>
      <c r="C216" s="34"/>
      <c r="D216" s="101" t="s">
        <v>220</v>
      </c>
      <c r="E216" s="37"/>
      <c r="F216" s="36" t="s">
        <v>3</v>
      </c>
    </row>
    <row r="217" spans="1:6" hidden="1" x14ac:dyDescent="0.25">
      <c r="A217" s="5"/>
      <c r="B217" s="3"/>
      <c r="C217" s="34"/>
      <c r="D217" s="101" t="s">
        <v>221</v>
      </c>
      <c r="E217" s="37"/>
      <c r="F217" s="36" t="s">
        <v>3</v>
      </c>
    </row>
    <row r="218" spans="1:6" hidden="1" x14ac:dyDescent="0.25">
      <c r="A218" s="5"/>
      <c r="B218" s="3"/>
      <c r="C218" s="34"/>
      <c r="D218" s="102" t="s">
        <v>222</v>
      </c>
      <c r="E218" s="100"/>
      <c r="F218" s="76" t="s">
        <v>3</v>
      </c>
    </row>
    <row r="219" spans="1:6" hidden="1" x14ac:dyDescent="0.25">
      <c r="A219" s="5"/>
      <c r="B219" s="3"/>
      <c r="C219" s="34"/>
      <c r="D219" s="102" t="s">
        <v>223</v>
      </c>
      <c r="E219" s="100"/>
      <c r="F219" s="76" t="s">
        <v>3</v>
      </c>
    </row>
    <row r="220" spans="1:6" hidden="1" x14ac:dyDescent="0.25">
      <c r="A220" s="5"/>
      <c r="B220" s="3"/>
      <c r="C220" s="34"/>
      <c r="D220" s="102" t="s">
        <v>224</v>
      </c>
      <c r="E220" s="100"/>
      <c r="F220" s="76" t="s">
        <v>3</v>
      </c>
    </row>
    <row r="221" spans="1:6" hidden="1" x14ac:dyDescent="0.25">
      <c r="A221" s="5"/>
      <c r="B221" s="3"/>
      <c r="C221" s="34"/>
      <c r="D221" s="102" t="s">
        <v>225</v>
      </c>
      <c r="E221" s="100"/>
      <c r="F221" s="76" t="s">
        <v>3</v>
      </c>
    </row>
    <row r="222" spans="1:6" hidden="1" x14ac:dyDescent="0.25">
      <c r="A222" s="5"/>
      <c r="B222" s="3"/>
      <c r="C222" s="34"/>
      <c r="D222" s="102" t="s">
        <v>226</v>
      </c>
      <c r="E222" s="100"/>
      <c r="F222" s="76" t="s">
        <v>3</v>
      </c>
    </row>
    <row r="223" spans="1:6" hidden="1" x14ac:dyDescent="0.25">
      <c r="A223" s="5"/>
      <c r="B223" s="3"/>
      <c r="C223" s="34"/>
      <c r="D223" s="101" t="s">
        <v>227</v>
      </c>
      <c r="E223" s="37"/>
      <c r="F223" s="36" t="s">
        <v>3</v>
      </c>
    </row>
    <row r="224" spans="1:6" hidden="1" x14ac:dyDescent="0.25">
      <c r="A224" s="5"/>
      <c r="B224" s="3"/>
      <c r="C224" s="34"/>
      <c r="D224" s="101" t="s">
        <v>228</v>
      </c>
      <c r="E224" s="37"/>
      <c r="F224" s="36" t="s">
        <v>3</v>
      </c>
    </row>
    <row r="225" spans="1:6" hidden="1" x14ac:dyDescent="0.25">
      <c r="A225" s="5"/>
      <c r="B225" s="3"/>
      <c r="C225" s="34"/>
      <c r="D225" s="101" t="s">
        <v>229</v>
      </c>
      <c r="E225" s="37"/>
      <c r="F225" s="36" t="s">
        <v>3</v>
      </c>
    </row>
    <row r="226" spans="1:6" hidden="1" x14ac:dyDescent="0.25">
      <c r="A226" s="53"/>
      <c r="B226" s="3"/>
      <c r="C226" s="34"/>
      <c r="D226" s="101" t="s">
        <v>230</v>
      </c>
      <c r="E226" s="37"/>
      <c r="F226" s="36" t="s">
        <v>3</v>
      </c>
    </row>
    <row r="227" spans="1:6" ht="30" hidden="1" x14ac:dyDescent="0.25">
      <c r="A227" s="53"/>
      <c r="B227" s="3"/>
      <c r="C227" s="34"/>
      <c r="D227" s="102" t="s">
        <v>231</v>
      </c>
      <c r="E227" s="100"/>
      <c r="F227" s="76" t="s">
        <v>3</v>
      </c>
    </row>
    <row r="228" spans="1:6" hidden="1" x14ac:dyDescent="0.25">
      <c r="A228" s="53"/>
      <c r="B228" s="3"/>
      <c r="C228" s="34"/>
      <c r="D228" s="101" t="s">
        <v>232</v>
      </c>
      <c r="E228" s="37"/>
      <c r="F228" s="36" t="s">
        <v>3</v>
      </c>
    </row>
    <row r="229" spans="1:6" hidden="1" x14ac:dyDescent="0.25">
      <c r="A229" s="53"/>
      <c r="B229" s="3"/>
      <c r="C229" s="34"/>
      <c r="D229" s="101" t="s">
        <v>233</v>
      </c>
      <c r="E229" s="37"/>
      <c r="F229" s="36" t="s">
        <v>3</v>
      </c>
    </row>
    <row r="230" spans="1:6" hidden="1" x14ac:dyDescent="0.25">
      <c r="A230" s="5"/>
      <c r="B230" s="3"/>
      <c r="C230" s="34"/>
      <c r="D230" s="99" t="s">
        <v>234</v>
      </c>
      <c r="E230" s="100"/>
      <c r="F230" s="76" t="s">
        <v>3</v>
      </c>
    </row>
    <row r="231" spans="1:6" hidden="1" x14ac:dyDescent="0.25">
      <c r="A231" s="53"/>
      <c r="B231" s="3"/>
      <c r="C231" s="34"/>
      <c r="D231" s="101" t="s">
        <v>209</v>
      </c>
      <c r="E231" s="37"/>
      <c r="F231" s="36" t="s">
        <v>3</v>
      </c>
    </row>
    <row r="232" spans="1:6" hidden="1" x14ac:dyDescent="0.25">
      <c r="A232" s="53"/>
      <c r="B232" s="3"/>
      <c r="C232" s="34"/>
      <c r="D232" s="101" t="s">
        <v>235</v>
      </c>
      <c r="E232" s="37"/>
      <c r="F232" s="36" t="s">
        <v>3</v>
      </c>
    </row>
    <row r="233" spans="1:6" hidden="1" x14ac:dyDescent="0.25">
      <c r="A233" s="5"/>
      <c r="B233" s="3"/>
      <c r="C233" s="34"/>
      <c r="D233" s="101" t="s">
        <v>236</v>
      </c>
      <c r="E233" s="37"/>
      <c r="F233" s="36" t="s">
        <v>3</v>
      </c>
    </row>
    <row r="234" spans="1:6" ht="30" hidden="1" x14ac:dyDescent="0.25">
      <c r="A234" s="5"/>
      <c r="B234" s="3"/>
      <c r="C234" s="34"/>
      <c r="D234" s="102" t="s">
        <v>237</v>
      </c>
      <c r="E234" s="100"/>
      <c r="F234" s="76" t="s">
        <v>3</v>
      </c>
    </row>
    <row r="235" spans="1:6" ht="30" hidden="1" x14ac:dyDescent="0.25">
      <c r="A235" s="5"/>
      <c r="B235" s="3"/>
      <c r="C235" s="34"/>
      <c r="D235" s="102" t="s">
        <v>238</v>
      </c>
      <c r="E235" s="100"/>
      <c r="F235" s="76" t="s">
        <v>3</v>
      </c>
    </row>
    <row r="236" spans="1:6" hidden="1" x14ac:dyDescent="0.25">
      <c r="A236" s="5"/>
      <c r="B236" s="3"/>
      <c r="C236" s="34"/>
      <c r="D236" s="99" t="s">
        <v>239</v>
      </c>
      <c r="E236" s="100">
        <f>SUM(E237:E238)</f>
        <v>0</v>
      </c>
      <c r="F236" s="76" t="s">
        <v>3</v>
      </c>
    </row>
    <row r="237" spans="1:6" hidden="1" x14ac:dyDescent="0.25">
      <c r="A237" s="5"/>
      <c r="B237" s="5"/>
      <c r="C237" s="53"/>
      <c r="D237" s="71" t="s">
        <v>212</v>
      </c>
      <c r="E237" s="50">
        <v>0</v>
      </c>
      <c r="F237" s="42" t="s">
        <v>3</v>
      </c>
    </row>
    <row r="238" spans="1:6" hidden="1" x14ac:dyDescent="0.25">
      <c r="A238" s="5"/>
      <c r="B238" s="5"/>
      <c r="C238" s="53"/>
      <c r="D238" s="71" t="s">
        <v>210</v>
      </c>
      <c r="E238" s="50">
        <v>0</v>
      </c>
      <c r="F238" s="42" t="s">
        <v>3</v>
      </c>
    </row>
    <row r="239" spans="1:6" x14ac:dyDescent="0.25">
      <c r="A239" s="5">
        <v>2</v>
      </c>
      <c r="B239" s="5">
        <v>2</v>
      </c>
      <c r="C239" s="53" t="s">
        <v>125</v>
      </c>
      <c r="D239" s="12" t="s">
        <v>51</v>
      </c>
      <c r="E239" s="54">
        <f>E240</f>
        <v>18000000</v>
      </c>
      <c r="F239" s="5" t="s">
        <v>3</v>
      </c>
    </row>
    <row r="240" spans="1:6" x14ac:dyDescent="0.25">
      <c r="A240" s="46"/>
      <c r="B240" s="46"/>
      <c r="C240" s="46"/>
      <c r="D240" s="71" t="s">
        <v>240</v>
      </c>
      <c r="E240" s="50">
        <v>18000000</v>
      </c>
      <c r="F240" s="42" t="s">
        <v>3</v>
      </c>
    </row>
    <row r="241" spans="1:7" x14ac:dyDescent="0.25">
      <c r="A241" s="5">
        <v>2</v>
      </c>
      <c r="B241" s="5">
        <v>2</v>
      </c>
      <c r="C241" s="53" t="s">
        <v>160</v>
      </c>
      <c r="D241" s="12" t="s">
        <v>241</v>
      </c>
      <c r="E241" s="54">
        <f>E242</f>
        <v>1000000</v>
      </c>
      <c r="F241" s="5" t="s">
        <v>3</v>
      </c>
    </row>
    <row r="242" spans="1:7" x14ac:dyDescent="0.25">
      <c r="A242" s="5"/>
      <c r="B242" s="5"/>
      <c r="C242" s="53"/>
      <c r="D242" s="98" t="s">
        <v>208</v>
      </c>
      <c r="E242" s="50">
        <v>1000000</v>
      </c>
      <c r="F242" s="42" t="s">
        <v>3</v>
      </c>
    </row>
    <row r="243" spans="1:7" s="185" customFormat="1" ht="30" x14ac:dyDescent="0.25">
      <c r="A243" s="3">
        <v>2</v>
      </c>
      <c r="B243" s="3">
        <v>2</v>
      </c>
      <c r="C243" s="34" t="s">
        <v>196</v>
      </c>
      <c r="D243" s="2" t="s">
        <v>242</v>
      </c>
      <c r="E243" s="35">
        <f>E244+E248</f>
        <v>44000000</v>
      </c>
      <c r="F243" s="3" t="s">
        <v>3</v>
      </c>
    </row>
    <row r="244" spans="1:7" x14ac:dyDescent="0.25">
      <c r="A244" s="3"/>
      <c r="B244" s="3"/>
      <c r="C244" s="34"/>
      <c r="D244" s="43" t="s">
        <v>243</v>
      </c>
      <c r="E244" s="37">
        <f>SUM(E245:E247)</f>
        <v>19000000</v>
      </c>
      <c r="F244" s="36" t="s">
        <v>3</v>
      </c>
    </row>
    <row r="245" spans="1:7" x14ac:dyDescent="0.25">
      <c r="A245" s="3"/>
      <c r="B245" s="3"/>
      <c r="C245" s="34"/>
      <c r="D245" s="98" t="s">
        <v>412</v>
      </c>
      <c r="E245" s="50">
        <v>5000000</v>
      </c>
      <c r="F245" s="42"/>
    </row>
    <row r="246" spans="1:7" x14ac:dyDescent="0.25">
      <c r="A246" s="3"/>
      <c r="B246" s="3"/>
      <c r="C246" s="34"/>
      <c r="D246" s="98" t="s">
        <v>411</v>
      </c>
      <c r="E246" s="51">
        <v>4000000</v>
      </c>
      <c r="F246" s="42"/>
    </row>
    <row r="247" spans="1:7" x14ac:dyDescent="0.25">
      <c r="A247" s="3"/>
      <c r="B247" s="3"/>
      <c r="C247" s="34"/>
      <c r="D247" s="225" t="s">
        <v>493</v>
      </c>
      <c r="E247" s="51">
        <v>10000000</v>
      </c>
      <c r="F247" s="42"/>
    </row>
    <row r="248" spans="1:7" x14ac:dyDescent="0.25">
      <c r="A248" s="5"/>
      <c r="B248" s="5"/>
      <c r="C248" s="53"/>
      <c r="D248" s="43" t="s">
        <v>485</v>
      </c>
      <c r="E248" s="37">
        <v>25000000</v>
      </c>
      <c r="F248" s="42" t="s">
        <v>3</v>
      </c>
      <c r="G248" s="211"/>
    </row>
    <row r="249" spans="1:7" x14ac:dyDescent="0.25">
      <c r="A249" s="8">
        <v>2</v>
      </c>
      <c r="B249" s="8">
        <v>3</v>
      </c>
      <c r="C249" s="8"/>
      <c r="D249" s="6" t="s">
        <v>244</v>
      </c>
      <c r="E249" s="57">
        <f>E250+E252+E253+E255+E256+E260+E262+E265+E268+E270</f>
        <v>140000000</v>
      </c>
      <c r="F249" s="8"/>
    </row>
    <row r="250" spans="1:7" s="185" customFormat="1" hidden="1" x14ac:dyDescent="0.25">
      <c r="A250" s="89">
        <v>2</v>
      </c>
      <c r="B250" s="89">
        <v>3</v>
      </c>
      <c r="C250" s="90" t="s">
        <v>85</v>
      </c>
      <c r="D250" s="17" t="s">
        <v>245</v>
      </c>
      <c r="E250" s="91">
        <f>E251</f>
        <v>0</v>
      </c>
      <c r="F250" s="89" t="s">
        <v>3</v>
      </c>
    </row>
    <row r="251" spans="1:7" ht="30" hidden="1" x14ac:dyDescent="0.25">
      <c r="A251" s="89"/>
      <c r="B251" s="89"/>
      <c r="C251" s="90"/>
      <c r="D251" s="103" t="s">
        <v>246</v>
      </c>
      <c r="E251" s="104"/>
      <c r="F251" s="105" t="s">
        <v>3</v>
      </c>
    </row>
    <row r="252" spans="1:7" hidden="1" x14ac:dyDescent="0.25">
      <c r="A252" s="5">
        <v>2</v>
      </c>
      <c r="B252" s="5">
        <v>3</v>
      </c>
      <c r="C252" s="53" t="s">
        <v>89</v>
      </c>
      <c r="D252" s="12" t="s">
        <v>247</v>
      </c>
      <c r="E252" s="54"/>
      <c r="F252" s="5"/>
    </row>
    <row r="253" spans="1:7" hidden="1" x14ac:dyDescent="0.25">
      <c r="A253" s="5">
        <v>2</v>
      </c>
      <c r="B253" s="5">
        <v>3</v>
      </c>
      <c r="C253" s="53" t="s">
        <v>98</v>
      </c>
      <c r="D253" s="12" t="s">
        <v>248</v>
      </c>
      <c r="E253" s="54">
        <f>SUM(E254)</f>
        <v>0</v>
      </c>
      <c r="F253" s="5" t="s">
        <v>3</v>
      </c>
    </row>
    <row r="254" spans="1:7" ht="30" hidden="1" x14ac:dyDescent="0.25">
      <c r="A254" s="5"/>
      <c r="B254" s="5"/>
      <c r="C254" s="53"/>
      <c r="D254" s="43" t="s">
        <v>249</v>
      </c>
      <c r="E254" s="37">
        <v>0</v>
      </c>
      <c r="F254" s="5"/>
    </row>
    <row r="255" spans="1:7" hidden="1" x14ac:dyDescent="0.25">
      <c r="A255" s="5">
        <v>2</v>
      </c>
      <c r="B255" s="5">
        <v>3</v>
      </c>
      <c r="C255" s="53" t="s">
        <v>122</v>
      </c>
      <c r="D255" s="12" t="s">
        <v>250</v>
      </c>
      <c r="E255" s="54"/>
      <c r="F255" s="5"/>
    </row>
    <row r="256" spans="1:7" ht="30" hidden="1" x14ac:dyDescent="0.25">
      <c r="A256" s="3">
        <v>2</v>
      </c>
      <c r="B256" s="3">
        <v>3</v>
      </c>
      <c r="C256" s="34" t="s">
        <v>199</v>
      </c>
      <c r="D256" s="2" t="s">
        <v>251</v>
      </c>
      <c r="E256" s="35">
        <f>SUM(E257:E259)</f>
        <v>0</v>
      </c>
      <c r="F256" s="3" t="s">
        <v>3</v>
      </c>
    </row>
    <row r="257" spans="1:6" hidden="1" x14ac:dyDescent="0.25">
      <c r="A257" s="5"/>
      <c r="B257" s="5"/>
      <c r="C257" s="53"/>
      <c r="D257" s="43"/>
      <c r="E257" s="37"/>
      <c r="F257" s="5"/>
    </row>
    <row r="258" spans="1:6" hidden="1" x14ac:dyDescent="0.25">
      <c r="A258" s="5"/>
      <c r="B258" s="5"/>
      <c r="C258" s="53"/>
      <c r="D258" s="43"/>
      <c r="E258" s="37"/>
      <c r="F258" s="5"/>
    </row>
    <row r="259" spans="1:6" hidden="1" x14ac:dyDescent="0.25">
      <c r="A259" s="5"/>
      <c r="B259" s="5"/>
      <c r="C259" s="53"/>
      <c r="D259" s="71"/>
      <c r="E259" s="50"/>
      <c r="F259" s="5"/>
    </row>
    <row r="260" spans="1:6" ht="30" hidden="1" x14ac:dyDescent="0.25">
      <c r="A260" s="3">
        <v>2</v>
      </c>
      <c r="B260" s="3">
        <v>3</v>
      </c>
      <c r="C260" s="34" t="s">
        <v>163</v>
      </c>
      <c r="D260" s="2" t="s">
        <v>252</v>
      </c>
      <c r="E260" s="35">
        <f>SUM(E261:E261)</f>
        <v>0</v>
      </c>
      <c r="F260" s="3" t="s">
        <v>3</v>
      </c>
    </row>
    <row r="261" spans="1:6" hidden="1" x14ac:dyDescent="0.25">
      <c r="A261" s="3"/>
      <c r="B261" s="3"/>
      <c r="C261" s="34"/>
      <c r="D261" s="43" t="s">
        <v>253</v>
      </c>
      <c r="E261" s="37">
        <v>0</v>
      </c>
      <c r="F261" s="5"/>
    </row>
    <row r="262" spans="1:6" ht="30" x14ac:dyDescent="0.25">
      <c r="A262" s="3">
        <v>2</v>
      </c>
      <c r="B262" s="3">
        <v>3</v>
      </c>
      <c r="C262" s="34" t="s">
        <v>254</v>
      </c>
      <c r="D262" s="2" t="s">
        <v>255</v>
      </c>
      <c r="E262" s="35">
        <f>SUM(E263:E264)</f>
        <v>140000000</v>
      </c>
      <c r="F262" s="3" t="s">
        <v>3</v>
      </c>
    </row>
    <row r="263" spans="1:6" hidden="1" x14ac:dyDescent="0.25">
      <c r="A263" s="5"/>
      <c r="B263" s="5"/>
      <c r="C263" s="53"/>
      <c r="D263" s="71" t="s">
        <v>256</v>
      </c>
      <c r="E263" s="50">
        <v>0</v>
      </c>
      <c r="F263" s="42"/>
    </row>
    <row r="264" spans="1:6" ht="30" x14ac:dyDescent="0.25">
      <c r="A264" s="5"/>
      <c r="B264" s="5"/>
      <c r="C264" s="53"/>
      <c r="D264" s="43" t="s">
        <v>415</v>
      </c>
      <c r="E264" s="37">
        <v>140000000</v>
      </c>
      <c r="F264" s="5"/>
    </row>
    <row r="265" spans="1:6" ht="45" hidden="1" x14ac:dyDescent="0.25">
      <c r="A265" s="3">
        <v>2</v>
      </c>
      <c r="B265" s="3">
        <v>3</v>
      </c>
      <c r="C265" s="34" t="s">
        <v>257</v>
      </c>
      <c r="D265" s="2" t="s">
        <v>258</v>
      </c>
      <c r="E265" s="35">
        <f>SUM(E266:E267)</f>
        <v>0</v>
      </c>
      <c r="F265" s="3" t="s">
        <v>6</v>
      </c>
    </row>
    <row r="266" spans="1:6" ht="30" hidden="1" x14ac:dyDescent="0.25">
      <c r="A266" s="3"/>
      <c r="B266" s="3"/>
      <c r="C266" s="34"/>
      <c r="D266" s="43" t="s">
        <v>259</v>
      </c>
      <c r="E266" s="37">
        <v>0</v>
      </c>
      <c r="F266" s="3"/>
    </row>
    <row r="267" spans="1:6" hidden="1" x14ac:dyDescent="0.25">
      <c r="A267" s="5"/>
      <c r="B267" s="5"/>
      <c r="C267" s="53"/>
      <c r="D267" s="71" t="s">
        <v>260</v>
      </c>
      <c r="E267" s="50">
        <v>0</v>
      </c>
      <c r="F267" s="5"/>
    </row>
    <row r="268" spans="1:6" ht="30" hidden="1" x14ac:dyDescent="0.25">
      <c r="A268" s="3">
        <v>2</v>
      </c>
      <c r="B268" s="3">
        <v>3</v>
      </c>
      <c r="C268" s="34" t="s">
        <v>261</v>
      </c>
      <c r="D268" s="2" t="s">
        <v>262</v>
      </c>
      <c r="E268" s="35">
        <f>E269</f>
        <v>0</v>
      </c>
      <c r="F268" s="3" t="s">
        <v>3</v>
      </c>
    </row>
    <row r="269" spans="1:6" ht="30" hidden="1" x14ac:dyDescent="0.25">
      <c r="A269" s="3"/>
      <c r="B269" s="3"/>
      <c r="C269" s="34"/>
      <c r="D269" s="43" t="s">
        <v>263</v>
      </c>
      <c r="E269" s="37">
        <v>0</v>
      </c>
      <c r="F269" s="3"/>
    </row>
    <row r="270" spans="1:6" ht="30" hidden="1" x14ac:dyDescent="0.25">
      <c r="A270" s="3">
        <v>2</v>
      </c>
      <c r="B270" s="3">
        <v>3</v>
      </c>
      <c r="C270" s="34" t="s">
        <v>264</v>
      </c>
      <c r="D270" s="2" t="s">
        <v>265</v>
      </c>
      <c r="E270" s="35">
        <f>SUM(E271:E271)</f>
        <v>0</v>
      </c>
      <c r="F270" s="3" t="s">
        <v>3</v>
      </c>
    </row>
    <row r="271" spans="1:6" hidden="1" x14ac:dyDescent="0.25">
      <c r="A271" s="3"/>
      <c r="B271" s="3"/>
      <c r="C271" s="34"/>
      <c r="D271" s="43" t="s">
        <v>266</v>
      </c>
      <c r="E271" s="40">
        <v>0</v>
      </c>
      <c r="F271" s="3"/>
    </row>
    <row r="272" spans="1:6" x14ac:dyDescent="0.25">
      <c r="A272" s="8">
        <v>2</v>
      </c>
      <c r="B272" s="8">
        <v>4</v>
      </c>
      <c r="C272" s="8"/>
      <c r="D272" s="6" t="s">
        <v>267</v>
      </c>
      <c r="E272" s="57">
        <f>E273+E276+E278+E285+E287+E290+E293+E295</f>
        <v>386000000</v>
      </c>
      <c r="F272" s="8"/>
    </row>
    <row r="273" spans="1:8" ht="30" x14ac:dyDescent="0.25">
      <c r="A273" s="3">
        <v>2</v>
      </c>
      <c r="B273" s="3">
        <v>4</v>
      </c>
      <c r="C273" s="34" t="s">
        <v>85</v>
      </c>
      <c r="D273" s="2" t="s">
        <v>268</v>
      </c>
      <c r="E273" s="35">
        <f>SUM(E274:E275)</f>
        <v>244000000</v>
      </c>
      <c r="F273" s="3" t="s">
        <v>3</v>
      </c>
    </row>
    <row r="274" spans="1:8" ht="30" x14ac:dyDescent="0.25">
      <c r="A274" s="5"/>
      <c r="B274" s="3"/>
      <c r="C274" s="34"/>
      <c r="D274" s="43" t="s">
        <v>494</v>
      </c>
      <c r="E274" s="40">
        <v>100000000</v>
      </c>
      <c r="F274" s="36" t="s">
        <v>3</v>
      </c>
    </row>
    <row r="275" spans="1:8" x14ac:dyDescent="0.25">
      <c r="A275" s="5"/>
      <c r="B275" s="3"/>
      <c r="C275" s="34"/>
      <c r="D275" s="43" t="s">
        <v>484</v>
      </c>
      <c r="E275" s="40">
        <v>144000000</v>
      </c>
      <c r="F275" s="36" t="s">
        <v>3</v>
      </c>
      <c r="H275" s="173">
        <f>E275/4000000</f>
        <v>36</v>
      </c>
    </row>
    <row r="276" spans="1:8" hidden="1" x14ac:dyDescent="0.25">
      <c r="A276" s="3">
        <v>2</v>
      </c>
      <c r="B276" s="3">
        <v>4</v>
      </c>
      <c r="C276" s="34" t="s">
        <v>98</v>
      </c>
      <c r="D276" s="2" t="s">
        <v>270</v>
      </c>
      <c r="E276" s="35">
        <f>SUM(E277:E277)</f>
        <v>0</v>
      </c>
      <c r="F276" s="3" t="s">
        <v>3</v>
      </c>
    </row>
    <row r="277" spans="1:8" hidden="1" x14ac:dyDescent="0.25">
      <c r="A277" s="5"/>
      <c r="B277" s="3"/>
      <c r="C277" s="34"/>
      <c r="D277" s="43" t="s">
        <v>271</v>
      </c>
      <c r="E277" s="37">
        <v>0</v>
      </c>
      <c r="F277" s="3"/>
    </row>
    <row r="278" spans="1:8" s="185" customFormat="1" x14ac:dyDescent="0.25">
      <c r="A278" s="3">
        <v>2</v>
      </c>
      <c r="B278" s="3">
        <v>4</v>
      </c>
      <c r="C278" s="34" t="s">
        <v>159</v>
      </c>
      <c r="D278" s="2" t="s">
        <v>272</v>
      </c>
      <c r="E278" s="35">
        <f>SUM(E279:E284)</f>
        <v>92000000</v>
      </c>
      <c r="F278" s="3" t="s">
        <v>3</v>
      </c>
    </row>
    <row r="279" spans="1:8" x14ac:dyDescent="0.25">
      <c r="A279" s="5"/>
      <c r="B279" s="5"/>
      <c r="C279" s="53"/>
      <c r="D279" s="207" t="s">
        <v>487</v>
      </c>
      <c r="E279" s="40">
        <v>72000000</v>
      </c>
      <c r="F279" s="3"/>
      <c r="H279">
        <f>1000000*6*12</f>
        <v>72000000</v>
      </c>
    </row>
    <row r="280" spans="1:8" x14ac:dyDescent="0.25">
      <c r="A280" s="5"/>
      <c r="B280" s="5"/>
      <c r="C280" s="53"/>
      <c r="D280" s="71" t="s">
        <v>274</v>
      </c>
      <c r="E280" s="50">
        <v>0</v>
      </c>
      <c r="F280" s="46"/>
      <c r="H280">
        <f>37*4</f>
        <v>148</v>
      </c>
    </row>
    <row r="281" spans="1:8" x14ac:dyDescent="0.25">
      <c r="A281" s="5"/>
      <c r="B281" s="5"/>
      <c r="C281" s="53"/>
      <c r="D281" s="71" t="s">
        <v>275</v>
      </c>
      <c r="E281" s="50">
        <v>0</v>
      </c>
      <c r="F281" s="46"/>
      <c r="H281">
        <f>H280/2</f>
        <v>74</v>
      </c>
    </row>
    <row r="282" spans="1:8" x14ac:dyDescent="0.25">
      <c r="A282" s="5"/>
      <c r="B282" s="5"/>
      <c r="C282" s="53"/>
      <c r="D282" s="71" t="s">
        <v>276</v>
      </c>
      <c r="E282" s="50">
        <v>0</v>
      </c>
      <c r="F282" s="46"/>
    </row>
    <row r="283" spans="1:8" x14ac:dyDescent="0.25">
      <c r="A283" s="5"/>
      <c r="B283" s="5"/>
      <c r="C283" s="53"/>
      <c r="D283" s="71" t="s">
        <v>277</v>
      </c>
      <c r="E283" s="50">
        <v>0</v>
      </c>
      <c r="F283" s="46"/>
    </row>
    <row r="284" spans="1:8" x14ac:dyDescent="0.25">
      <c r="A284" s="3"/>
      <c r="B284" s="3"/>
      <c r="C284" s="34"/>
      <c r="D284" s="43" t="s">
        <v>416</v>
      </c>
      <c r="E284" s="40">
        <v>20000000</v>
      </c>
      <c r="F284" s="97"/>
    </row>
    <row r="285" spans="1:8" hidden="1" x14ac:dyDescent="0.25">
      <c r="A285" s="5">
        <v>2</v>
      </c>
      <c r="B285" s="5">
        <v>4</v>
      </c>
      <c r="C285" s="53" t="s">
        <v>160</v>
      </c>
      <c r="D285" s="12" t="s">
        <v>280</v>
      </c>
      <c r="E285" s="54">
        <f>SUM(E286:E286)</f>
        <v>0</v>
      </c>
      <c r="F285" s="5" t="s">
        <v>3</v>
      </c>
    </row>
    <row r="286" spans="1:8" hidden="1" x14ac:dyDescent="0.25">
      <c r="A286" s="5"/>
      <c r="B286" s="5"/>
      <c r="C286" s="53"/>
      <c r="D286" s="71" t="s">
        <v>281</v>
      </c>
      <c r="E286" s="50">
        <v>0</v>
      </c>
      <c r="F286" s="5"/>
    </row>
    <row r="287" spans="1:8" ht="30" hidden="1" x14ac:dyDescent="0.25">
      <c r="A287" s="3">
        <v>2</v>
      </c>
      <c r="B287" s="3">
        <v>4</v>
      </c>
      <c r="C287" s="34">
        <v>11</v>
      </c>
      <c r="D287" s="2" t="s">
        <v>282</v>
      </c>
      <c r="E287" s="35">
        <f>SUM(E288:E289)</f>
        <v>0</v>
      </c>
      <c r="F287" s="3" t="s">
        <v>3</v>
      </c>
    </row>
    <row r="288" spans="1:8" hidden="1" x14ac:dyDescent="0.25">
      <c r="A288" s="3"/>
      <c r="B288" s="3"/>
      <c r="C288" s="34"/>
      <c r="D288" s="71" t="s">
        <v>283</v>
      </c>
      <c r="E288" s="50">
        <v>0</v>
      </c>
      <c r="F288" s="42" t="s">
        <v>3</v>
      </c>
    </row>
    <row r="289" spans="1:6" hidden="1" x14ac:dyDescent="0.25">
      <c r="A289" s="3"/>
      <c r="B289" s="3"/>
      <c r="C289" s="34"/>
      <c r="D289" s="71" t="s">
        <v>283</v>
      </c>
      <c r="E289" s="50">
        <v>0</v>
      </c>
      <c r="F289" s="42" t="s">
        <v>4</v>
      </c>
    </row>
    <row r="290" spans="1:6" ht="30" x14ac:dyDescent="0.25">
      <c r="A290" s="3">
        <v>2</v>
      </c>
      <c r="B290" s="3">
        <v>4</v>
      </c>
      <c r="C290" s="106">
        <v>12</v>
      </c>
      <c r="D290" s="107" t="s">
        <v>284</v>
      </c>
      <c r="E290" s="35">
        <f>E291</f>
        <v>20000000</v>
      </c>
      <c r="F290" s="3" t="s">
        <v>3</v>
      </c>
    </row>
    <row r="291" spans="1:6" ht="18" customHeight="1" x14ac:dyDescent="0.25">
      <c r="A291" s="5"/>
      <c r="B291" s="5"/>
      <c r="C291" s="108"/>
      <c r="D291" s="43" t="s">
        <v>486</v>
      </c>
      <c r="E291" s="37">
        <v>20000000</v>
      </c>
      <c r="F291" s="92"/>
    </row>
    <row r="292" spans="1:6" hidden="1" x14ac:dyDescent="0.25">
      <c r="A292" s="3">
        <v>2</v>
      </c>
      <c r="B292" s="3">
        <v>4</v>
      </c>
      <c r="C292" s="34" t="s">
        <v>286</v>
      </c>
      <c r="D292" s="2" t="s">
        <v>287</v>
      </c>
      <c r="E292" s="109"/>
      <c r="F292" s="97"/>
    </row>
    <row r="293" spans="1:6" ht="30" x14ac:dyDescent="0.25">
      <c r="A293" s="3">
        <v>2</v>
      </c>
      <c r="B293" s="3">
        <v>4</v>
      </c>
      <c r="C293" s="34" t="s">
        <v>257</v>
      </c>
      <c r="D293" s="2" t="s">
        <v>288</v>
      </c>
      <c r="E293" s="35">
        <f>E294</f>
        <v>30000000</v>
      </c>
      <c r="F293" s="3" t="s">
        <v>3</v>
      </c>
    </row>
    <row r="294" spans="1:6" x14ac:dyDescent="0.25">
      <c r="A294" s="5"/>
      <c r="B294" s="5"/>
      <c r="C294" s="53"/>
      <c r="D294" s="43" t="s">
        <v>289</v>
      </c>
      <c r="E294" s="37">
        <v>30000000</v>
      </c>
      <c r="F294" s="42" t="s">
        <v>432</v>
      </c>
    </row>
    <row r="295" spans="1:6" s="185" customFormat="1" ht="30" hidden="1" x14ac:dyDescent="0.25">
      <c r="A295" s="3">
        <v>2</v>
      </c>
      <c r="B295" s="3">
        <v>4</v>
      </c>
      <c r="C295" s="34" t="s">
        <v>261</v>
      </c>
      <c r="D295" s="2" t="s">
        <v>290</v>
      </c>
      <c r="E295" s="35">
        <f>SUM(E296:E298)</f>
        <v>0</v>
      </c>
      <c r="F295" s="3" t="s">
        <v>3</v>
      </c>
    </row>
    <row r="296" spans="1:6" hidden="1" x14ac:dyDescent="0.25">
      <c r="A296" s="3"/>
      <c r="B296" s="3"/>
      <c r="C296" s="34"/>
      <c r="D296" s="43" t="s">
        <v>291</v>
      </c>
      <c r="E296" s="37"/>
      <c r="F296" s="36" t="s">
        <v>3</v>
      </c>
    </row>
    <row r="297" spans="1:6" hidden="1" x14ac:dyDescent="0.25">
      <c r="A297" s="5"/>
      <c r="B297" s="5"/>
      <c r="C297" s="53"/>
      <c r="D297" s="71" t="s">
        <v>278</v>
      </c>
      <c r="E297" s="50">
        <v>0</v>
      </c>
      <c r="F297" s="42"/>
    </row>
    <row r="298" spans="1:6" hidden="1" x14ac:dyDescent="0.25">
      <c r="A298" s="5"/>
      <c r="B298" s="5"/>
      <c r="C298" s="53"/>
      <c r="D298" s="71" t="s">
        <v>279</v>
      </c>
      <c r="E298" s="50">
        <v>0</v>
      </c>
      <c r="F298" s="42" t="s">
        <v>3</v>
      </c>
    </row>
    <row r="299" spans="1:6" hidden="1" x14ac:dyDescent="0.25">
      <c r="A299" s="5"/>
      <c r="B299" s="5"/>
      <c r="C299" s="53"/>
      <c r="D299" s="71"/>
      <c r="E299" s="64"/>
      <c r="F299" s="5"/>
    </row>
    <row r="300" spans="1:6" ht="30" hidden="1" x14ac:dyDescent="0.25">
      <c r="A300" s="3">
        <v>2</v>
      </c>
      <c r="B300" s="3">
        <v>4</v>
      </c>
      <c r="C300" s="34" t="s">
        <v>264</v>
      </c>
      <c r="D300" s="110" t="s">
        <v>292</v>
      </c>
      <c r="E300" s="45">
        <f>E301</f>
        <v>0</v>
      </c>
      <c r="F300" s="4" t="s">
        <v>3</v>
      </c>
    </row>
    <row r="301" spans="1:6" hidden="1" x14ac:dyDescent="0.25">
      <c r="A301" s="5"/>
      <c r="B301" s="5"/>
      <c r="C301" s="53"/>
      <c r="D301" s="111" t="s">
        <v>293</v>
      </c>
      <c r="E301" s="112"/>
      <c r="F301" s="113"/>
    </row>
    <row r="302" spans="1:6" hidden="1" x14ac:dyDescent="0.25">
      <c r="A302" s="5"/>
      <c r="B302" s="5"/>
      <c r="C302" s="53"/>
      <c r="D302" s="111"/>
      <c r="E302" s="112"/>
      <c r="F302" s="113"/>
    </row>
    <row r="303" spans="1:6" hidden="1" x14ac:dyDescent="0.25">
      <c r="A303" s="5"/>
      <c r="B303" s="5"/>
      <c r="C303" s="53"/>
      <c r="D303" s="111"/>
      <c r="E303" s="112"/>
      <c r="F303" s="113"/>
    </row>
    <row r="304" spans="1:6" hidden="1" x14ac:dyDescent="0.25">
      <c r="A304" s="10">
        <v>2</v>
      </c>
      <c r="B304" s="10">
        <v>5</v>
      </c>
      <c r="C304" s="10"/>
      <c r="D304" s="114" t="s">
        <v>294</v>
      </c>
      <c r="E304" s="206">
        <f>E305+E308</f>
        <v>0</v>
      </c>
      <c r="F304" s="10"/>
    </row>
    <row r="305" spans="1:6" s="185" customFormat="1" hidden="1" x14ac:dyDescent="0.25">
      <c r="A305" s="92">
        <v>2</v>
      </c>
      <c r="B305" s="5">
        <v>5</v>
      </c>
      <c r="C305" s="53" t="s">
        <v>89</v>
      </c>
      <c r="D305" s="5" t="s">
        <v>295</v>
      </c>
      <c r="E305" s="54">
        <f>SUM(E306:E307)</f>
        <v>0</v>
      </c>
      <c r="F305" s="5" t="s">
        <v>3</v>
      </c>
    </row>
    <row r="306" spans="1:6" hidden="1" x14ac:dyDescent="0.25">
      <c r="A306" s="92"/>
      <c r="B306" s="92"/>
      <c r="C306" s="116"/>
      <c r="D306" s="42" t="s">
        <v>296</v>
      </c>
      <c r="E306" s="50">
        <v>0</v>
      </c>
      <c r="F306" s="42" t="s">
        <v>3</v>
      </c>
    </row>
    <row r="307" spans="1:6" hidden="1" x14ac:dyDescent="0.25">
      <c r="A307" s="92"/>
      <c r="B307" s="92"/>
      <c r="C307" s="116"/>
      <c r="D307" s="42" t="s">
        <v>297</v>
      </c>
      <c r="E307" s="50"/>
      <c r="F307" s="42" t="s">
        <v>3</v>
      </c>
    </row>
    <row r="308" spans="1:6" s="185" customFormat="1" ht="30" hidden="1" x14ac:dyDescent="0.25">
      <c r="A308" s="5">
        <v>2</v>
      </c>
      <c r="B308" s="5">
        <v>5</v>
      </c>
      <c r="C308" s="53" t="s">
        <v>98</v>
      </c>
      <c r="D308" s="187" t="s">
        <v>298</v>
      </c>
      <c r="E308" s="35">
        <f>E309</f>
        <v>0</v>
      </c>
      <c r="F308" s="3" t="s">
        <v>3</v>
      </c>
    </row>
    <row r="309" spans="1:6" hidden="1" x14ac:dyDescent="0.25">
      <c r="A309" s="92"/>
      <c r="B309" s="92"/>
      <c r="C309" s="92"/>
      <c r="D309" s="71" t="s">
        <v>299</v>
      </c>
      <c r="E309" s="37"/>
      <c r="F309" s="36" t="s">
        <v>3</v>
      </c>
    </row>
    <row r="310" spans="1:6" hidden="1" x14ac:dyDescent="0.25">
      <c r="A310" s="92"/>
      <c r="B310" s="92"/>
      <c r="C310" s="92"/>
      <c r="D310" s="71"/>
      <c r="E310" s="50"/>
      <c r="F310" s="42"/>
    </row>
    <row r="311" spans="1:6" x14ac:dyDescent="0.25">
      <c r="A311" s="117">
        <v>2</v>
      </c>
      <c r="B311" s="117">
        <v>6</v>
      </c>
      <c r="C311" s="117"/>
      <c r="D311" s="13" t="s">
        <v>52</v>
      </c>
      <c r="E311" s="35">
        <f>E312+E316+E322</f>
        <v>26000000</v>
      </c>
      <c r="F311" s="69"/>
    </row>
    <row r="312" spans="1:6" hidden="1" x14ac:dyDescent="0.25">
      <c r="A312" s="5">
        <v>2</v>
      </c>
      <c r="B312" s="5">
        <v>6</v>
      </c>
      <c r="C312" s="53" t="s">
        <v>85</v>
      </c>
      <c r="D312" s="12" t="s">
        <v>300</v>
      </c>
      <c r="E312" s="54">
        <f>SUM(E313:E315)</f>
        <v>0</v>
      </c>
      <c r="F312" s="5" t="s">
        <v>3</v>
      </c>
    </row>
    <row r="313" spans="1:6" hidden="1" x14ac:dyDescent="0.25">
      <c r="A313" s="5"/>
      <c r="B313" s="5"/>
      <c r="C313" s="53"/>
      <c r="D313" s="71" t="s">
        <v>301</v>
      </c>
      <c r="E313" s="75"/>
      <c r="F313" s="46"/>
    </row>
    <row r="314" spans="1:6" hidden="1" x14ac:dyDescent="0.25">
      <c r="A314" s="5"/>
      <c r="B314" s="5"/>
      <c r="C314" s="53"/>
      <c r="D314" s="71" t="s">
        <v>302</v>
      </c>
      <c r="E314" s="75"/>
      <c r="F314" s="46"/>
    </row>
    <row r="315" spans="1:6" hidden="1" x14ac:dyDescent="0.25">
      <c r="A315" s="5"/>
      <c r="B315" s="5"/>
      <c r="C315" s="53"/>
      <c r="D315" s="71" t="s">
        <v>303</v>
      </c>
      <c r="E315" s="75"/>
      <c r="F315" s="46"/>
    </row>
    <row r="316" spans="1:6" ht="33.75" customHeight="1" x14ac:dyDescent="0.25">
      <c r="A316" s="3">
        <v>2</v>
      </c>
      <c r="B316" s="3">
        <v>6</v>
      </c>
      <c r="C316" s="34" t="s">
        <v>89</v>
      </c>
      <c r="D316" s="2" t="s">
        <v>53</v>
      </c>
      <c r="E316" s="35">
        <f>SUM(E317:E321)</f>
        <v>26000000</v>
      </c>
      <c r="F316" s="2" t="s">
        <v>304</v>
      </c>
    </row>
    <row r="317" spans="1:6" hidden="1" x14ac:dyDescent="0.25">
      <c r="A317" s="3"/>
      <c r="B317" s="3"/>
      <c r="C317" s="34"/>
      <c r="D317" s="42" t="s">
        <v>161</v>
      </c>
      <c r="E317" s="50">
        <v>0</v>
      </c>
      <c r="F317" s="2"/>
    </row>
    <row r="318" spans="1:6" x14ac:dyDescent="0.25">
      <c r="A318" s="3"/>
      <c r="B318" s="3"/>
      <c r="C318" s="34"/>
      <c r="D318" s="48" t="s">
        <v>162</v>
      </c>
      <c r="E318" s="49">
        <v>12000000</v>
      </c>
      <c r="F318" s="43" t="s">
        <v>3</v>
      </c>
    </row>
    <row r="319" spans="1:6" x14ac:dyDescent="0.25">
      <c r="A319" s="3"/>
      <c r="B319" s="3"/>
      <c r="C319" s="34"/>
      <c r="D319" s="48" t="s">
        <v>162</v>
      </c>
      <c r="E319" s="49">
        <v>12000000</v>
      </c>
      <c r="F319" s="43" t="s">
        <v>0</v>
      </c>
    </row>
    <row r="320" spans="1:6" x14ac:dyDescent="0.25">
      <c r="A320" s="3"/>
      <c r="B320" s="3"/>
      <c r="C320" s="34"/>
      <c r="D320" s="43" t="s">
        <v>305</v>
      </c>
      <c r="E320" s="37">
        <v>2000000</v>
      </c>
      <c r="F320" s="43" t="s">
        <v>0</v>
      </c>
    </row>
    <row r="321" spans="1:6" hidden="1" x14ac:dyDescent="0.25">
      <c r="A321" s="3"/>
      <c r="B321" s="3"/>
      <c r="C321" s="34"/>
      <c r="D321" s="103" t="s">
        <v>306</v>
      </c>
      <c r="E321" s="104">
        <v>0</v>
      </c>
      <c r="F321" s="119"/>
    </row>
    <row r="322" spans="1:6" ht="30" hidden="1" x14ac:dyDescent="0.25">
      <c r="A322" s="93">
        <v>2</v>
      </c>
      <c r="B322" s="93">
        <v>6</v>
      </c>
      <c r="C322" s="94" t="s">
        <v>98</v>
      </c>
      <c r="D322" s="95" t="s">
        <v>307</v>
      </c>
      <c r="E322" s="96">
        <f>SUM(E323:E324)</f>
        <v>0</v>
      </c>
      <c r="F322" s="95" t="s">
        <v>3</v>
      </c>
    </row>
    <row r="323" spans="1:6" hidden="1" x14ac:dyDescent="0.25">
      <c r="A323" s="3"/>
      <c r="B323" s="3"/>
      <c r="C323" s="34"/>
      <c r="D323" s="103" t="s">
        <v>308</v>
      </c>
      <c r="E323" s="104">
        <v>0</v>
      </c>
      <c r="F323" s="2"/>
    </row>
    <row r="324" spans="1:6" hidden="1" x14ac:dyDescent="0.25">
      <c r="A324" s="3"/>
      <c r="B324" s="3"/>
      <c r="C324" s="34"/>
      <c r="D324" s="103" t="s">
        <v>309</v>
      </c>
      <c r="E324" s="104"/>
      <c r="F324" s="119"/>
    </row>
    <row r="325" spans="1:6" hidden="1" x14ac:dyDescent="0.25">
      <c r="A325" s="10">
        <v>2</v>
      </c>
      <c r="B325" s="10">
        <v>7</v>
      </c>
      <c r="C325" s="10"/>
      <c r="D325" s="114" t="s">
        <v>310</v>
      </c>
      <c r="E325" s="115"/>
      <c r="F325" s="10"/>
    </row>
    <row r="326" spans="1:6" x14ac:dyDescent="0.25">
      <c r="A326" s="10">
        <v>2</v>
      </c>
      <c r="B326" s="10">
        <v>8</v>
      </c>
      <c r="C326" s="8"/>
      <c r="D326" s="114" t="s">
        <v>311</v>
      </c>
      <c r="E326" s="57">
        <f>E329</f>
        <v>5000000</v>
      </c>
      <c r="F326" s="8"/>
    </row>
    <row r="327" spans="1:6" hidden="1" x14ac:dyDescent="0.25">
      <c r="A327" s="3">
        <v>2</v>
      </c>
      <c r="B327" s="3">
        <v>8</v>
      </c>
      <c r="C327" s="34" t="s">
        <v>85</v>
      </c>
      <c r="D327" s="2" t="s">
        <v>312</v>
      </c>
      <c r="E327" s="35"/>
      <c r="F327" s="3"/>
    </row>
    <row r="328" spans="1:6" s="188" customFormat="1" ht="30" hidden="1" x14ac:dyDescent="0.25">
      <c r="A328" s="3">
        <v>2</v>
      </c>
      <c r="B328" s="3">
        <v>8</v>
      </c>
      <c r="C328" s="34" t="s">
        <v>89</v>
      </c>
      <c r="D328" s="2" t="s">
        <v>313</v>
      </c>
      <c r="E328" s="35"/>
      <c r="F328" s="3"/>
    </row>
    <row r="329" spans="1:6" s="185" customFormat="1" x14ac:dyDescent="0.25">
      <c r="A329" s="5">
        <v>2</v>
      </c>
      <c r="B329" s="5">
        <v>8</v>
      </c>
      <c r="C329" s="53" t="s">
        <v>98</v>
      </c>
      <c r="D329" s="17" t="s">
        <v>314</v>
      </c>
      <c r="E329" s="54">
        <f>SUM(E330:E332)</f>
        <v>5000000</v>
      </c>
      <c r="F329" s="5" t="s">
        <v>3</v>
      </c>
    </row>
    <row r="330" spans="1:6" x14ac:dyDescent="0.25">
      <c r="A330" s="5"/>
      <c r="B330" s="5"/>
      <c r="C330" s="53"/>
      <c r="D330" s="120" t="s">
        <v>315</v>
      </c>
      <c r="E330" s="49">
        <v>5000000</v>
      </c>
      <c r="F330" s="92" t="s">
        <v>3</v>
      </c>
    </row>
    <row r="331" spans="1:6" hidden="1" x14ac:dyDescent="0.25">
      <c r="A331" s="5"/>
      <c r="B331" s="5"/>
      <c r="C331" s="53"/>
      <c r="D331" s="120"/>
      <c r="E331" s="49"/>
      <c r="F331" s="92" t="s">
        <v>3</v>
      </c>
    </row>
    <row r="332" spans="1:6" hidden="1" x14ac:dyDescent="0.25">
      <c r="A332" s="5"/>
      <c r="B332" s="5"/>
      <c r="C332" s="53"/>
      <c r="D332" s="120"/>
      <c r="E332" s="49">
        <v>0</v>
      </c>
      <c r="F332" s="92" t="s">
        <v>316</v>
      </c>
    </row>
    <row r="333" spans="1:6" x14ac:dyDescent="0.25">
      <c r="A333" s="11">
        <v>3</v>
      </c>
      <c r="B333" s="11"/>
      <c r="C333" s="11"/>
      <c r="D333" s="14" t="s">
        <v>54</v>
      </c>
      <c r="E333" s="88">
        <f>E334+E353+E371+E383</f>
        <v>89543900</v>
      </c>
      <c r="F333" s="11"/>
    </row>
    <row r="334" spans="1:6" ht="30" x14ac:dyDescent="0.25">
      <c r="A334" s="119">
        <v>3</v>
      </c>
      <c r="B334" s="121">
        <v>1</v>
      </c>
      <c r="C334" s="121"/>
      <c r="D334" s="15" t="s">
        <v>55</v>
      </c>
      <c r="E334" s="122">
        <f>E335+E344+E349</f>
        <v>28043900</v>
      </c>
      <c r="F334" s="121"/>
    </row>
    <row r="335" spans="1:6" ht="15.75" customHeight="1" x14ac:dyDescent="0.25">
      <c r="A335" s="5">
        <v>3</v>
      </c>
      <c r="B335" s="5">
        <v>1</v>
      </c>
      <c r="C335" s="53" t="s">
        <v>85</v>
      </c>
      <c r="D335" s="12" t="s">
        <v>60</v>
      </c>
      <c r="E335" s="54">
        <f>E336+E339</f>
        <v>28043900</v>
      </c>
      <c r="F335" s="5" t="s">
        <v>1</v>
      </c>
    </row>
    <row r="336" spans="1:6" ht="18" hidden="1" customHeight="1" x14ac:dyDescent="0.25">
      <c r="A336" s="5"/>
      <c r="B336" s="5"/>
      <c r="C336" s="53"/>
      <c r="D336" s="72" t="s">
        <v>317</v>
      </c>
      <c r="E336" s="64">
        <f>SUM(E337:E338)</f>
        <v>0</v>
      </c>
      <c r="F336" s="63" t="s">
        <v>3</v>
      </c>
    </row>
    <row r="337" spans="1:6" hidden="1" x14ac:dyDescent="0.25">
      <c r="A337" s="5"/>
      <c r="B337" s="5"/>
      <c r="C337" s="53"/>
      <c r="D337" s="71" t="s">
        <v>318</v>
      </c>
      <c r="E337" s="51">
        <v>0</v>
      </c>
      <c r="F337" s="42" t="s">
        <v>3</v>
      </c>
    </row>
    <row r="338" spans="1:6" hidden="1" x14ac:dyDescent="0.25">
      <c r="A338" s="5"/>
      <c r="B338" s="5"/>
      <c r="C338" s="53"/>
      <c r="D338" s="71" t="s">
        <v>319</v>
      </c>
      <c r="E338" s="51">
        <v>0</v>
      </c>
      <c r="F338" s="42" t="s">
        <v>3</v>
      </c>
    </row>
    <row r="339" spans="1:6" ht="15.75" customHeight="1" x14ac:dyDescent="0.25">
      <c r="A339" s="5"/>
      <c r="B339" s="5"/>
      <c r="C339" s="53"/>
      <c r="D339" s="72" t="s">
        <v>320</v>
      </c>
      <c r="E339" s="64">
        <f>SUM(E340:E342)</f>
        <v>28043900</v>
      </c>
      <c r="F339" s="63" t="s">
        <v>1</v>
      </c>
    </row>
    <row r="340" spans="1:6" ht="15.75" customHeight="1" x14ac:dyDescent="0.25">
      <c r="A340" s="5"/>
      <c r="B340" s="5"/>
      <c r="C340" s="53"/>
      <c r="D340" s="71" t="s">
        <v>461</v>
      </c>
      <c r="E340" s="50">
        <v>16043900</v>
      </c>
      <c r="F340" s="42" t="s">
        <v>2</v>
      </c>
    </row>
    <row r="341" spans="1:6" ht="20.25" customHeight="1" x14ac:dyDescent="0.25">
      <c r="A341" s="3"/>
      <c r="B341" s="3"/>
      <c r="C341" s="34"/>
      <c r="D341" s="43" t="s">
        <v>321</v>
      </c>
      <c r="E341" s="37">
        <v>9000000</v>
      </c>
      <c r="F341" s="43" t="s">
        <v>1</v>
      </c>
    </row>
    <row r="342" spans="1:6" ht="17.25" customHeight="1" x14ac:dyDescent="0.25">
      <c r="A342" s="5"/>
      <c r="B342" s="5"/>
      <c r="C342" s="53"/>
      <c r="D342" s="71" t="s">
        <v>322</v>
      </c>
      <c r="E342" s="50">
        <v>3000000</v>
      </c>
      <c r="F342" s="48" t="s">
        <v>1</v>
      </c>
    </row>
    <row r="343" spans="1:6" hidden="1" x14ac:dyDescent="0.25">
      <c r="A343" s="5"/>
      <c r="B343" s="5"/>
      <c r="C343" s="53"/>
      <c r="D343" s="123"/>
      <c r="E343" s="75"/>
      <c r="F343" s="46"/>
    </row>
    <row r="344" spans="1:6" ht="30" hidden="1" x14ac:dyDescent="0.25">
      <c r="A344" s="5">
        <v>3</v>
      </c>
      <c r="B344" s="5">
        <v>1</v>
      </c>
      <c r="C344" s="53" t="s">
        <v>89</v>
      </c>
      <c r="D344" s="12" t="s">
        <v>323</v>
      </c>
      <c r="E344" s="75"/>
      <c r="F344" s="46"/>
    </row>
    <row r="345" spans="1:6" ht="30" hidden="1" x14ac:dyDescent="0.25">
      <c r="A345" s="5">
        <v>3</v>
      </c>
      <c r="B345" s="5">
        <v>1</v>
      </c>
      <c r="C345" s="53" t="s">
        <v>98</v>
      </c>
      <c r="D345" s="12" t="s">
        <v>324</v>
      </c>
      <c r="E345" s="75"/>
      <c r="F345" s="46"/>
    </row>
    <row r="346" spans="1:6" hidden="1" x14ac:dyDescent="0.25">
      <c r="A346" s="3">
        <v>3</v>
      </c>
      <c r="B346" s="3">
        <v>1</v>
      </c>
      <c r="C346" s="34" t="s">
        <v>109</v>
      </c>
      <c r="D346" s="2" t="s">
        <v>325</v>
      </c>
      <c r="E346" s="109"/>
      <c r="F346" s="97"/>
    </row>
    <row r="347" spans="1:6" hidden="1" x14ac:dyDescent="0.25">
      <c r="A347" s="5">
        <v>3</v>
      </c>
      <c r="B347" s="5">
        <v>1</v>
      </c>
      <c r="C347" s="53" t="s">
        <v>122</v>
      </c>
      <c r="D347" s="12" t="s">
        <v>326</v>
      </c>
      <c r="E347" s="75"/>
      <c r="F347" s="46"/>
    </row>
    <row r="348" spans="1:6" hidden="1" x14ac:dyDescent="0.25">
      <c r="A348" s="5">
        <v>3</v>
      </c>
      <c r="B348" s="5">
        <v>1</v>
      </c>
      <c r="C348" s="53" t="s">
        <v>125</v>
      </c>
      <c r="D348" s="12" t="s">
        <v>327</v>
      </c>
      <c r="E348" s="75"/>
      <c r="F348" s="46"/>
    </row>
    <row r="349" spans="1:6" ht="30" hidden="1" x14ac:dyDescent="0.25">
      <c r="A349" s="5">
        <v>3</v>
      </c>
      <c r="B349" s="5">
        <v>1</v>
      </c>
      <c r="C349" s="53" t="s">
        <v>159</v>
      </c>
      <c r="D349" s="12" t="s">
        <v>328</v>
      </c>
      <c r="E349" s="75">
        <f>SUM(E350:E352)</f>
        <v>0</v>
      </c>
      <c r="F349" s="46"/>
    </row>
    <row r="350" spans="1:6" hidden="1" x14ac:dyDescent="0.25">
      <c r="A350" s="5"/>
      <c r="B350" s="5"/>
      <c r="C350" s="53"/>
      <c r="D350" s="12"/>
      <c r="E350" s="75"/>
      <c r="F350" s="46"/>
    </row>
    <row r="351" spans="1:6" hidden="1" x14ac:dyDescent="0.25">
      <c r="A351" s="5"/>
      <c r="B351" s="5"/>
      <c r="C351" s="53"/>
      <c r="D351" s="12"/>
      <c r="E351" s="75"/>
      <c r="F351" s="46"/>
    </row>
    <row r="352" spans="1:6" hidden="1" x14ac:dyDescent="0.25">
      <c r="A352" s="5"/>
      <c r="B352" s="5"/>
      <c r="C352" s="53"/>
      <c r="D352" s="12"/>
      <c r="E352" s="75"/>
      <c r="F352" s="46"/>
    </row>
    <row r="353" spans="1:6" x14ac:dyDescent="0.25">
      <c r="A353" s="121">
        <v>3</v>
      </c>
      <c r="B353" s="121">
        <v>2</v>
      </c>
      <c r="C353" s="121"/>
      <c r="D353" s="15" t="s">
        <v>56</v>
      </c>
      <c r="E353" s="122">
        <f>E354+E356+E359</f>
        <v>22000000</v>
      </c>
      <c r="F353" s="15"/>
    </row>
    <row r="354" spans="1:6" x14ac:dyDescent="0.25">
      <c r="A354" s="3">
        <v>3</v>
      </c>
      <c r="B354" s="3">
        <v>2</v>
      </c>
      <c r="C354" s="34" t="s">
        <v>85</v>
      </c>
      <c r="D354" s="2" t="s">
        <v>57</v>
      </c>
      <c r="E354" s="35">
        <f>SUM(E355:E355)</f>
        <v>10000000</v>
      </c>
      <c r="F354" s="3" t="s">
        <v>1</v>
      </c>
    </row>
    <row r="355" spans="1:6" ht="13.5" customHeight="1" x14ac:dyDescent="0.25">
      <c r="A355" s="3"/>
      <c r="B355" s="3"/>
      <c r="C355" s="34"/>
      <c r="D355" s="43" t="s">
        <v>329</v>
      </c>
      <c r="E355" s="37">
        <v>10000000</v>
      </c>
      <c r="F355" s="36" t="s">
        <v>1</v>
      </c>
    </row>
    <row r="356" spans="1:6" ht="29.25" customHeight="1" x14ac:dyDescent="0.25">
      <c r="A356" s="3">
        <v>3</v>
      </c>
      <c r="B356" s="3">
        <v>2</v>
      </c>
      <c r="C356" s="34" t="s">
        <v>89</v>
      </c>
      <c r="D356" s="2" t="s">
        <v>58</v>
      </c>
      <c r="E356" s="35">
        <f>SUM(E357:E358)</f>
        <v>7000000</v>
      </c>
      <c r="F356" s="3" t="s">
        <v>330</v>
      </c>
    </row>
    <row r="357" spans="1:6" x14ac:dyDescent="0.25">
      <c r="A357" s="3"/>
      <c r="B357" s="3"/>
      <c r="C357" s="34"/>
      <c r="D357" s="103" t="s">
        <v>331</v>
      </c>
      <c r="E357" s="104">
        <v>2000000</v>
      </c>
      <c r="F357" s="105" t="s">
        <v>1</v>
      </c>
    </row>
    <row r="358" spans="1:6" ht="19.5" customHeight="1" x14ac:dyDescent="0.25">
      <c r="A358" s="3"/>
      <c r="B358" s="3"/>
      <c r="C358" s="34"/>
      <c r="D358" s="103" t="s">
        <v>332</v>
      </c>
      <c r="E358" s="104">
        <v>5000000</v>
      </c>
      <c r="F358" s="105" t="s">
        <v>2</v>
      </c>
    </row>
    <row r="359" spans="1:6" ht="29.25" customHeight="1" x14ac:dyDescent="0.25">
      <c r="A359" s="3">
        <v>3</v>
      </c>
      <c r="B359" s="3">
        <v>2</v>
      </c>
      <c r="C359" s="34" t="s">
        <v>98</v>
      </c>
      <c r="D359" s="2" t="s">
        <v>59</v>
      </c>
      <c r="E359" s="35">
        <f>E360+E361</f>
        <v>5000000</v>
      </c>
      <c r="F359" s="3" t="s">
        <v>2</v>
      </c>
    </row>
    <row r="360" spans="1:6" x14ac:dyDescent="0.25">
      <c r="A360" s="3"/>
      <c r="B360" s="3"/>
      <c r="C360" s="34"/>
      <c r="D360" s="43" t="s">
        <v>333</v>
      </c>
      <c r="E360" s="109">
        <v>3500000</v>
      </c>
      <c r="F360" s="36" t="s">
        <v>2</v>
      </c>
    </row>
    <row r="361" spans="1:6" ht="18.75" customHeight="1" x14ac:dyDescent="0.25">
      <c r="A361" s="3"/>
      <c r="B361" s="3"/>
      <c r="C361" s="34"/>
      <c r="D361" s="43" t="s">
        <v>333</v>
      </c>
      <c r="E361" s="109">
        <v>1500000</v>
      </c>
      <c r="F361" s="36" t="s">
        <v>429</v>
      </c>
    </row>
    <row r="362" spans="1:6" hidden="1" x14ac:dyDescent="0.25">
      <c r="A362" s="3"/>
      <c r="B362" s="3"/>
      <c r="C362" s="34"/>
      <c r="D362" s="2"/>
      <c r="E362" s="109"/>
      <c r="F362" s="97"/>
    </row>
    <row r="363" spans="1:6" ht="30" hidden="1" x14ac:dyDescent="0.25">
      <c r="A363" s="5">
        <v>3</v>
      </c>
      <c r="B363" s="5">
        <v>2</v>
      </c>
      <c r="C363" s="53" t="s">
        <v>122</v>
      </c>
      <c r="D363" s="12" t="s">
        <v>334</v>
      </c>
      <c r="E363" s="75"/>
      <c r="F363" s="46"/>
    </row>
    <row r="364" spans="1:6" ht="45" hidden="1" x14ac:dyDescent="0.25">
      <c r="A364" s="5">
        <v>3</v>
      </c>
      <c r="B364" s="5">
        <v>2</v>
      </c>
      <c r="C364" s="53" t="s">
        <v>98</v>
      </c>
      <c r="D364" s="12" t="s">
        <v>335</v>
      </c>
      <c r="E364" s="75"/>
      <c r="F364" s="46"/>
    </row>
    <row r="365" spans="1:6" hidden="1" x14ac:dyDescent="0.25">
      <c r="A365" s="5"/>
      <c r="B365" s="5"/>
      <c r="C365" s="53"/>
      <c r="D365" s="4" t="s">
        <v>336</v>
      </c>
      <c r="E365" s="124">
        <v>0</v>
      </c>
      <c r="F365" s="46" t="s">
        <v>4</v>
      </c>
    </row>
    <row r="366" spans="1:6" hidden="1" x14ac:dyDescent="0.25">
      <c r="A366" s="5"/>
      <c r="B366" s="5"/>
      <c r="C366" s="53"/>
      <c r="D366" s="4" t="s">
        <v>337</v>
      </c>
      <c r="E366" s="124">
        <v>0</v>
      </c>
      <c r="F366" s="46" t="s">
        <v>338</v>
      </c>
    </row>
    <row r="367" spans="1:6" hidden="1" x14ac:dyDescent="0.25">
      <c r="A367" s="5"/>
      <c r="B367" s="5"/>
      <c r="C367" s="53"/>
      <c r="D367" s="4" t="s">
        <v>339</v>
      </c>
      <c r="E367" s="124">
        <v>0</v>
      </c>
      <c r="F367" s="46" t="s">
        <v>4</v>
      </c>
    </row>
    <row r="368" spans="1:6" ht="30" hidden="1" x14ac:dyDescent="0.25">
      <c r="A368" s="3">
        <v>3</v>
      </c>
      <c r="B368" s="3">
        <v>2</v>
      </c>
      <c r="C368" s="34" t="s">
        <v>122</v>
      </c>
      <c r="D368" s="2" t="s">
        <v>340</v>
      </c>
      <c r="E368" s="109">
        <v>0</v>
      </c>
      <c r="F368" s="97" t="s">
        <v>4</v>
      </c>
    </row>
    <row r="369" spans="1:6" hidden="1" x14ac:dyDescent="0.25">
      <c r="A369" s="5"/>
      <c r="B369" s="5"/>
      <c r="C369" s="53"/>
      <c r="D369" s="17" t="s">
        <v>341</v>
      </c>
      <c r="E369" s="124">
        <v>0</v>
      </c>
      <c r="F369" s="46" t="s">
        <v>4</v>
      </c>
    </row>
    <row r="370" spans="1:6" hidden="1" x14ac:dyDescent="0.25">
      <c r="A370" s="5"/>
      <c r="B370" s="5"/>
      <c r="C370" s="53"/>
      <c r="D370" s="2" t="s">
        <v>342</v>
      </c>
      <c r="E370" s="109">
        <v>0</v>
      </c>
      <c r="F370" s="97" t="s">
        <v>4</v>
      </c>
    </row>
    <row r="371" spans="1:6" x14ac:dyDescent="0.25">
      <c r="A371" s="125">
        <v>3</v>
      </c>
      <c r="B371" s="125">
        <v>3</v>
      </c>
      <c r="C371" s="125"/>
      <c r="D371" s="16" t="s">
        <v>61</v>
      </c>
      <c r="E371" s="126">
        <f>E372+E376+E377+E378+E379+E381</f>
        <v>12500000</v>
      </c>
      <c r="F371" s="125"/>
    </row>
    <row r="372" spans="1:6" ht="30" customHeight="1" x14ac:dyDescent="0.25">
      <c r="A372" s="3">
        <v>3</v>
      </c>
      <c r="B372" s="3">
        <v>3</v>
      </c>
      <c r="C372" s="34" t="s">
        <v>85</v>
      </c>
      <c r="D372" s="2" t="s">
        <v>62</v>
      </c>
      <c r="E372" s="35">
        <f>SUM(E373:E375)</f>
        <v>12500000</v>
      </c>
      <c r="F372" s="3" t="s">
        <v>2</v>
      </c>
    </row>
    <row r="373" spans="1:6" ht="18.75" customHeight="1" x14ac:dyDescent="0.25">
      <c r="A373" s="3"/>
      <c r="B373" s="3"/>
      <c r="C373" s="34"/>
      <c r="D373" s="43" t="s">
        <v>343</v>
      </c>
      <c r="E373" s="37">
        <v>2500000</v>
      </c>
      <c r="F373" s="36" t="s">
        <v>429</v>
      </c>
    </row>
    <row r="374" spans="1:6" ht="14.25" customHeight="1" x14ac:dyDescent="0.25">
      <c r="A374" s="3"/>
      <c r="B374" s="3"/>
      <c r="C374" s="34"/>
      <c r="D374" s="43" t="s">
        <v>344</v>
      </c>
      <c r="E374" s="37">
        <v>5000000</v>
      </c>
      <c r="F374" s="36" t="s">
        <v>2</v>
      </c>
    </row>
    <row r="375" spans="1:6" ht="18" customHeight="1" x14ac:dyDescent="0.25">
      <c r="A375" s="3"/>
      <c r="B375" s="3"/>
      <c r="C375" s="34"/>
      <c r="D375" s="43" t="s">
        <v>414</v>
      </c>
      <c r="E375" s="37">
        <v>5000000</v>
      </c>
      <c r="F375" s="36" t="s">
        <v>2</v>
      </c>
    </row>
    <row r="376" spans="1:6" hidden="1" x14ac:dyDescent="0.25">
      <c r="A376" s="5">
        <v>3</v>
      </c>
      <c r="B376" s="5">
        <v>3</v>
      </c>
      <c r="C376" s="53" t="s">
        <v>89</v>
      </c>
      <c r="D376" s="12" t="s">
        <v>345</v>
      </c>
      <c r="E376" s="75"/>
      <c r="F376" s="46"/>
    </row>
    <row r="377" spans="1:6" ht="30" hidden="1" x14ac:dyDescent="0.25">
      <c r="A377" s="5">
        <v>3</v>
      </c>
      <c r="B377" s="5">
        <v>3</v>
      </c>
      <c r="C377" s="53" t="s">
        <v>98</v>
      </c>
      <c r="D377" s="12" t="s">
        <v>346</v>
      </c>
      <c r="E377" s="75"/>
      <c r="F377" s="46"/>
    </row>
    <row r="378" spans="1:6" ht="30" hidden="1" x14ac:dyDescent="0.25">
      <c r="A378" s="5">
        <v>3</v>
      </c>
      <c r="B378" s="5">
        <v>3</v>
      </c>
      <c r="C378" s="53" t="s">
        <v>109</v>
      </c>
      <c r="D378" s="12" t="s">
        <v>347</v>
      </c>
      <c r="E378" s="75"/>
      <c r="F378" s="46"/>
    </row>
    <row r="379" spans="1:6" ht="30" hidden="1" x14ac:dyDescent="0.25">
      <c r="A379" s="3">
        <v>3</v>
      </c>
      <c r="B379" s="3">
        <v>3</v>
      </c>
      <c r="C379" s="34" t="s">
        <v>122</v>
      </c>
      <c r="D379" s="2" t="s">
        <v>348</v>
      </c>
      <c r="E379" s="35">
        <f>E380</f>
        <v>0</v>
      </c>
      <c r="F379" s="3" t="s">
        <v>1</v>
      </c>
    </row>
    <row r="380" spans="1:6" hidden="1" x14ac:dyDescent="0.25">
      <c r="A380" s="5"/>
      <c r="B380" s="5"/>
      <c r="C380" s="53"/>
      <c r="D380" s="71" t="s">
        <v>349</v>
      </c>
      <c r="E380" s="50">
        <v>0</v>
      </c>
      <c r="F380" s="42" t="s">
        <v>1</v>
      </c>
    </row>
    <row r="381" spans="1:6" hidden="1" x14ac:dyDescent="0.25">
      <c r="A381" s="3">
        <v>3</v>
      </c>
      <c r="B381" s="3">
        <v>3</v>
      </c>
      <c r="C381" s="34" t="s">
        <v>125</v>
      </c>
      <c r="D381" s="2" t="s">
        <v>350</v>
      </c>
      <c r="E381" s="35">
        <f>SUM(E382:E382)</f>
        <v>0</v>
      </c>
      <c r="F381" s="3" t="s">
        <v>1</v>
      </c>
    </row>
    <row r="382" spans="1:6" hidden="1" x14ac:dyDescent="0.25">
      <c r="A382" s="3"/>
      <c r="B382" s="3"/>
      <c r="C382" s="34"/>
      <c r="D382" s="43" t="s">
        <v>351</v>
      </c>
      <c r="E382" s="37">
        <v>0</v>
      </c>
      <c r="F382" s="36" t="s">
        <v>1</v>
      </c>
    </row>
    <row r="383" spans="1:6" x14ac:dyDescent="0.25">
      <c r="A383" s="125">
        <v>3</v>
      </c>
      <c r="B383" s="125">
        <v>4</v>
      </c>
      <c r="C383" s="125"/>
      <c r="D383" s="16" t="s">
        <v>63</v>
      </c>
      <c r="E383" s="126">
        <f>E384+E385+E388</f>
        <v>27000000</v>
      </c>
      <c r="F383" s="125"/>
    </row>
    <row r="384" spans="1:6" ht="16.5" hidden="1" customHeight="1" x14ac:dyDescent="0.25">
      <c r="A384" s="5">
        <v>3</v>
      </c>
      <c r="B384" s="5">
        <v>4</v>
      </c>
      <c r="C384" s="53" t="s">
        <v>85</v>
      </c>
      <c r="D384" s="12" t="s">
        <v>352</v>
      </c>
      <c r="E384" s="54"/>
      <c r="F384" s="46"/>
    </row>
    <row r="385" spans="1:8" s="188" customFormat="1" x14ac:dyDescent="0.25">
      <c r="A385" s="3">
        <v>3</v>
      </c>
      <c r="B385" s="3">
        <v>4</v>
      </c>
      <c r="C385" s="132" t="s">
        <v>89</v>
      </c>
      <c r="D385" s="2" t="s">
        <v>64</v>
      </c>
      <c r="E385" s="35">
        <f>SUM(E386:E387)</f>
        <v>10000000</v>
      </c>
      <c r="F385" s="3" t="s">
        <v>2</v>
      </c>
    </row>
    <row r="386" spans="1:8" ht="14.25" hidden="1" customHeight="1" x14ac:dyDescent="0.25">
      <c r="A386" s="5"/>
      <c r="B386" s="5"/>
      <c r="C386" s="47"/>
      <c r="D386" s="71" t="s">
        <v>353</v>
      </c>
      <c r="E386" s="50">
        <v>0</v>
      </c>
      <c r="F386" s="42" t="s">
        <v>0</v>
      </c>
    </row>
    <row r="387" spans="1:8" ht="11.25" customHeight="1" x14ac:dyDescent="0.25">
      <c r="A387" s="5"/>
      <c r="B387" s="5"/>
      <c r="C387" s="47"/>
      <c r="D387" s="71" t="s">
        <v>353</v>
      </c>
      <c r="E387" s="50">
        <v>10000000</v>
      </c>
      <c r="F387" s="42" t="s">
        <v>2</v>
      </c>
    </row>
    <row r="388" spans="1:8" x14ac:dyDescent="0.25">
      <c r="A388" s="5">
        <v>3</v>
      </c>
      <c r="B388" s="5">
        <v>4</v>
      </c>
      <c r="C388" s="53" t="s">
        <v>98</v>
      </c>
      <c r="D388" s="127" t="s">
        <v>65</v>
      </c>
      <c r="E388" s="54">
        <f>SUM(E389:E390)</f>
        <v>17000000</v>
      </c>
      <c r="F388" s="5"/>
    </row>
    <row r="389" spans="1:8" x14ac:dyDescent="0.25">
      <c r="A389" s="5"/>
      <c r="B389" s="5"/>
      <c r="C389" s="47"/>
      <c r="D389" s="71" t="s">
        <v>354</v>
      </c>
      <c r="E389" s="50">
        <v>17000000</v>
      </c>
      <c r="F389" s="42" t="s">
        <v>1</v>
      </c>
    </row>
    <row r="390" spans="1:8" hidden="1" x14ac:dyDescent="0.25">
      <c r="A390" s="5"/>
      <c r="B390" s="5"/>
      <c r="C390" s="47"/>
      <c r="D390" s="71"/>
      <c r="E390" s="50">
        <v>0</v>
      </c>
      <c r="F390" s="42" t="s">
        <v>6</v>
      </c>
    </row>
    <row r="391" spans="1:8" x14ac:dyDescent="0.25">
      <c r="A391" s="128">
        <v>4</v>
      </c>
      <c r="B391" s="129"/>
      <c r="C391" s="129"/>
      <c r="D391" s="14" t="s">
        <v>66</v>
      </c>
      <c r="E391" s="130">
        <f>E392+E397+E410+E415+E423+E430+E434</f>
        <v>130000000</v>
      </c>
      <c r="F391" s="129"/>
    </row>
    <row r="392" spans="1:8" hidden="1" x14ac:dyDescent="0.25">
      <c r="A392" s="125">
        <v>4</v>
      </c>
      <c r="B392" s="125">
        <v>1</v>
      </c>
      <c r="C392" s="125"/>
      <c r="D392" s="16" t="s">
        <v>355</v>
      </c>
      <c r="E392" s="126">
        <f>E393+E395</f>
        <v>0</v>
      </c>
      <c r="F392" s="125" t="s">
        <v>3</v>
      </c>
    </row>
    <row r="393" spans="1:8" hidden="1" x14ac:dyDescent="0.25">
      <c r="A393" s="5">
        <v>4</v>
      </c>
      <c r="B393" s="5">
        <v>1</v>
      </c>
      <c r="C393" s="53" t="s">
        <v>122</v>
      </c>
      <c r="D393" s="12" t="s">
        <v>356</v>
      </c>
      <c r="E393" s="75">
        <v>0</v>
      </c>
      <c r="F393" s="46"/>
    </row>
    <row r="394" spans="1:8" hidden="1" x14ac:dyDescent="0.25">
      <c r="A394" s="5"/>
      <c r="B394" s="5"/>
      <c r="C394" s="53"/>
      <c r="D394" s="12"/>
      <c r="E394" s="75"/>
      <c r="F394" s="46"/>
    </row>
    <row r="395" spans="1:8" ht="30" hidden="1" x14ac:dyDescent="0.25">
      <c r="A395" s="3">
        <v>4</v>
      </c>
      <c r="B395" s="3">
        <v>1</v>
      </c>
      <c r="C395" s="34" t="s">
        <v>125</v>
      </c>
      <c r="D395" s="2" t="s">
        <v>357</v>
      </c>
      <c r="E395" s="109">
        <f>SUM(E396:E396)</f>
        <v>0</v>
      </c>
      <c r="F395" s="97"/>
    </row>
    <row r="396" spans="1:8" hidden="1" x14ac:dyDescent="0.25">
      <c r="A396" s="5"/>
      <c r="B396" s="5"/>
      <c r="C396" s="53"/>
      <c r="D396" s="12"/>
      <c r="E396" s="75"/>
      <c r="F396" s="46"/>
    </row>
    <row r="397" spans="1:8" x14ac:dyDescent="0.25">
      <c r="A397" s="125">
        <v>4</v>
      </c>
      <c r="B397" s="125">
        <v>2</v>
      </c>
      <c r="C397" s="131"/>
      <c r="D397" s="16" t="s">
        <v>67</v>
      </c>
      <c r="E397" s="126">
        <f>E398+E400+E404+E406</f>
        <v>120000000</v>
      </c>
      <c r="F397" s="125" t="s">
        <v>3</v>
      </c>
    </row>
    <row r="398" spans="1:8" ht="30" x14ac:dyDescent="0.25">
      <c r="A398" s="3">
        <v>4</v>
      </c>
      <c r="B398" s="97">
        <v>2</v>
      </c>
      <c r="C398" s="132" t="s">
        <v>85</v>
      </c>
      <c r="D398" s="220" t="s">
        <v>358</v>
      </c>
      <c r="E398" s="221">
        <v>60000000</v>
      </c>
      <c r="F398" s="76" t="s">
        <v>3</v>
      </c>
    </row>
    <row r="399" spans="1:8" hidden="1" x14ac:dyDescent="0.25">
      <c r="A399" s="5"/>
      <c r="B399" s="46"/>
      <c r="C399" s="47"/>
      <c r="D399" s="222" t="s">
        <v>359</v>
      </c>
      <c r="E399" s="40">
        <v>25000000</v>
      </c>
      <c r="F399" s="76" t="s">
        <v>3</v>
      </c>
    </row>
    <row r="400" spans="1:8" ht="30" x14ac:dyDescent="0.25">
      <c r="A400" s="3">
        <v>4</v>
      </c>
      <c r="B400" s="3">
        <v>2</v>
      </c>
      <c r="C400" s="34" t="s">
        <v>89</v>
      </c>
      <c r="D400" s="223" t="s">
        <v>68</v>
      </c>
      <c r="E400" s="221">
        <f>E401</f>
        <v>60000000</v>
      </c>
      <c r="F400" s="76" t="s">
        <v>3</v>
      </c>
      <c r="H400" s="224">
        <f>M5*20%</f>
        <v>223166600</v>
      </c>
    </row>
    <row r="401" spans="1:8" x14ac:dyDescent="0.25">
      <c r="A401" s="3"/>
      <c r="B401" s="97"/>
      <c r="C401" s="132"/>
      <c r="D401" s="43" t="s">
        <v>465</v>
      </c>
      <c r="E401" s="50">
        <v>60000000</v>
      </c>
      <c r="F401" s="42"/>
      <c r="H401" s="173">
        <f>E401/5000000</f>
        <v>12</v>
      </c>
    </row>
    <row r="402" spans="1:8" hidden="1" x14ac:dyDescent="0.25">
      <c r="A402" s="133"/>
      <c r="B402" s="134"/>
      <c r="C402" s="135"/>
      <c r="D402" s="136" t="s">
        <v>360</v>
      </c>
      <c r="E402" s="137">
        <v>0</v>
      </c>
      <c r="F402" s="138"/>
    </row>
    <row r="403" spans="1:8" hidden="1" x14ac:dyDescent="0.25">
      <c r="A403" s="5"/>
      <c r="B403" s="46"/>
      <c r="C403" s="47"/>
      <c r="D403" s="71" t="s">
        <v>361</v>
      </c>
      <c r="E403" s="50">
        <v>0</v>
      </c>
      <c r="F403" s="42"/>
    </row>
    <row r="404" spans="1:8" hidden="1" x14ac:dyDescent="0.25">
      <c r="A404" s="3">
        <v>4</v>
      </c>
      <c r="B404" s="97">
        <v>2</v>
      </c>
      <c r="C404" s="132" t="s">
        <v>98</v>
      </c>
      <c r="D404" s="107" t="s">
        <v>362</v>
      </c>
      <c r="E404" s="35">
        <f>E405</f>
        <v>0</v>
      </c>
      <c r="F404" s="3" t="s">
        <v>3</v>
      </c>
    </row>
    <row r="405" spans="1:8" hidden="1" x14ac:dyDescent="0.25">
      <c r="A405" s="5"/>
      <c r="B405" s="46"/>
      <c r="C405" s="47"/>
      <c r="D405" s="71" t="s">
        <v>363</v>
      </c>
      <c r="E405" s="50">
        <v>0</v>
      </c>
      <c r="F405" s="42" t="s">
        <v>3</v>
      </c>
    </row>
    <row r="406" spans="1:8" ht="30" hidden="1" x14ac:dyDescent="0.25">
      <c r="A406" s="3">
        <v>4</v>
      </c>
      <c r="B406" s="97">
        <v>2</v>
      </c>
      <c r="C406" s="132" t="s">
        <v>122</v>
      </c>
      <c r="D406" s="107" t="s">
        <v>364</v>
      </c>
      <c r="E406" s="35">
        <f>SUM(E407:E409)</f>
        <v>0</v>
      </c>
      <c r="F406" s="76" t="s">
        <v>3</v>
      </c>
    </row>
    <row r="407" spans="1:8" hidden="1" x14ac:dyDescent="0.25">
      <c r="A407" s="5"/>
      <c r="B407" s="46"/>
      <c r="C407" s="47"/>
      <c r="D407" s="71" t="s">
        <v>365</v>
      </c>
      <c r="E407" s="50">
        <v>0</v>
      </c>
      <c r="F407" s="42"/>
    </row>
    <row r="408" spans="1:8" hidden="1" x14ac:dyDescent="0.25">
      <c r="A408" s="5"/>
      <c r="B408" s="46"/>
      <c r="C408" s="47"/>
      <c r="D408" s="71"/>
      <c r="E408" s="50"/>
      <c r="F408" s="42"/>
    </row>
    <row r="409" spans="1:8" hidden="1" x14ac:dyDescent="0.25">
      <c r="A409" s="5"/>
      <c r="B409" s="46"/>
      <c r="C409" s="47"/>
      <c r="D409" s="71"/>
      <c r="E409" s="50"/>
      <c r="F409" s="42"/>
    </row>
    <row r="410" spans="1:8" x14ac:dyDescent="0.25">
      <c r="A410" s="125">
        <v>4</v>
      </c>
      <c r="B410" s="125">
        <v>3</v>
      </c>
      <c r="C410" s="125"/>
      <c r="D410" s="16" t="s">
        <v>69</v>
      </c>
      <c r="E410" s="126">
        <f>SUM(E411:E414)</f>
        <v>5000000</v>
      </c>
      <c r="F410" s="125" t="s">
        <v>0</v>
      </c>
    </row>
    <row r="411" spans="1:8" x14ac:dyDescent="0.25">
      <c r="A411" s="5">
        <v>4</v>
      </c>
      <c r="B411" s="5">
        <v>3</v>
      </c>
      <c r="C411" s="47" t="s">
        <v>85</v>
      </c>
      <c r="D411" s="17" t="s">
        <v>70</v>
      </c>
      <c r="E411" s="91">
        <v>2000000</v>
      </c>
      <c r="F411" s="46" t="s">
        <v>0</v>
      </c>
    </row>
    <row r="412" spans="1:8" x14ac:dyDescent="0.25">
      <c r="A412" s="5">
        <v>4</v>
      </c>
      <c r="B412" s="5">
        <v>3</v>
      </c>
      <c r="C412" s="47" t="s">
        <v>89</v>
      </c>
      <c r="D412" s="17" t="s">
        <v>71</v>
      </c>
      <c r="E412" s="91">
        <v>1000000</v>
      </c>
      <c r="F412" s="46" t="s">
        <v>0</v>
      </c>
    </row>
    <row r="413" spans="1:8" x14ac:dyDescent="0.25">
      <c r="A413" s="5"/>
      <c r="B413" s="5"/>
      <c r="C413" s="47"/>
      <c r="D413" s="17" t="s">
        <v>71</v>
      </c>
      <c r="E413" s="91">
        <v>1000000</v>
      </c>
      <c r="F413" s="46" t="s">
        <v>1</v>
      </c>
    </row>
    <row r="414" spans="1:8" x14ac:dyDescent="0.25">
      <c r="A414" s="5">
        <v>4</v>
      </c>
      <c r="B414" s="5">
        <v>3</v>
      </c>
      <c r="C414" s="47" t="s">
        <v>98</v>
      </c>
      <c r="D414" s="17" t="s">
        <v>72</v>
      </c>
      <c r="E414" s="91">
        <v>1000000</v>
      </c>
      <c r="F414" s="46" t="s">
        <v>1</v>
      </c>
    </row>
    <row r="415" spans="1:8" ht="30" x14ac:dyDescent="0.25">
      <c r="A415" s="121">
        <v>4</v>
      </c>
      <c r="B415" s="121">
        <v>4</v>
      </c>
      <c r="C415" s="139"/>
      <c r="D415" s="140" t="s">
        <v>73</v>
      </c>
      <c r="E415" s="122">
        <f>E416+E419+E421</f>
        <v>5000000</v>
      </c>
      <c r="F415" s="121" t="s">
        <v>3</v>
      </c>
    </row>
    <row r="416" spans="1:8" x14ac:dyDescent="0.25">
      <c r="A416" s="5">
        <v>4</v>
      </c>
      <c r="B416" s="5">
        <v>4</v>
      </c>
      <c r="C416" s="47" t="s">
        <v>85</v>
      </c>
      <c r="D416" s="12" t="s">
        <v>74</v>
      </c>
      <c r="E416" s="54">
        <f>SUM(E417:E418)</f>
        <v>5000000</v>
      </c>
      <c r="F416" s="46" t="s">
        <v>3</v>
      </c>
    </row>
    <row r="417" spans="1:6" x14ac:dyDescent="0.25">
      <c r="A417" s="5"/>
      <c r="B417" s="5"/>
      <c r="C417" s="47"/>
      <c r="D417" s="71" t="s">
        <v>366</v>
      </c>
      <c r="E417" s="50">
        <v>5000000</v>
      </c>
      <c r="F417" s="42" t="s">
        <v>3</v>
      </c>
    </row>
    <row r="418" spans="1:6" hidden="1" x14ac:dyDescent="0.25">
      <c r="A418" s="5"/>
      <c r="B418" s="5"/>
      <c r="C418" s="47"/>
      <c r="D418" s="71"/>
      <c r="E418" s="50"/>
      <c r="F418" s="42"/>
    </row>
    <row r="419" spans="1:6" hidden="1" x14ac:dyDescent="0.25">
      <c r="A419" s="5">
        <v>4</v>
      </c>
      <c r="B419" s="5">
        <v>4</v>
      </c>
      <c r="C419" s="47" t="s">
        <v>89</v>
      </c>
      <c r="D419" s="12" t="s">
        <v>367</v>
      </c>
      <c r="E419" s="54">
        <f>E420</f>
        <v>0</v>
      </c>
      <c r="F419" s="46" t="s">
        <v>3</v>
      </c>
    </row>
    <row r="420" spans="1:6" hidden="1" x14ac:dyDescent="0.25">
      <c r="A420" s="5"/>
      <c r="B420" s="5"/>
      <c r="C420" s="47"/>
      <c r="D420" s="71"/>
      <c r="E420" s="50"/>
      <c r="F420" s="42"/>
    </row>
    <row r="421" spans="1:6" hidden="1" x14ac:dyDescent="0.25">
      <c r="A421" s="5">
        <v>4</v>
      </c>
      <c r="B421" s="5">
        <v>4</v>
      </c>
      <c r="C421" s="47" t="s">
        <v>98</v>
      </c>
      <c r="D421" s="12" t="s">
        <v>368</v>
      </c>
      <c r="E421" s="54">
        <f>SUM(E422)</f>
        <v>0</v>
      </c>
      <c r="F421" s="46" t="s">
        <v>3</v>
      </c>
    </row>
    <row r="422" spans="1:6" hidden="1" x14ac:dyDescent="0.25">
      <c r="A422" s="5"/>
      <c r="B422" s="5"/>
      <c r="C422" s="47"/>
      <c r="D422" s="12"/>
      <c r="E422" s="54"/>
      <c r="F422" s="46"/>
    </row>
    <row r="423" spans="1:6" hidden="1" x14ac:dyDescent="0.25">
      <c r="A423" s="125">
        <v>4</v>
      </c>
      <c r="B423" s="125">
        <v>5</v>
      </c>
      <c r="C423" s="125"/>
      <c r="D423" s="16" t="s">
        <v>369</v>
      </c>
      <c r="E423" s="126">
        <f>E424+E426+E428</f>
        <v>0</v>
      </c>
      <c r="F423" s="125" t="s">
        <v>3</v>
      </c>
    </row>
    <row r="424" spans="1:6" hidden="1" x14ac:dyDescent="0.25">
      <c r="A424" s="3">
        <v>4</v>
      </c>
      <c r="B424" s="3">
        <v>5</v>
      </c>
      <c r="C424" s="132" t="s">
        <v>85</v>
      </c>
      <c r="D424" s="2" t="s">
        <v>370</v>
      </c>
      <c r="E424" s="35">
        <f>E425</f>
        <v>0</v>
      </c>
      <c r="F424" s="97"/>
    </row>
    <row r="425" spans="1:6" hidden="1" x14ac:dyDescent="0.25">
      <c r="A425" s="5"/>
      <c r="B425" s="5"/>
      <c r="C425" s="47"/>
      <c r="D425" s="12"/>
      <c r="E425" s="54"/>
      <c r="F425" s="46"/>
    </row>
    <row r="426" spans="1:6" hidden="1" x14ac:dyDescent="0.25">
      <c r="A426" s="3">
        <v>4</v>
      </c>
      <c r="B426" s="3">
        <v>5</v>
      </c>
      <c r="C426" s="132" t="s">
        <v>89</v>
      </c>
      <c r="D426" s="2" t="s">
        <v>371</v>
      </c>
      <c r="E426" s="35">
        <f>E427</f>
        <v>0</v>
      </c>
      <c r="F426" s="97"/>
    </row>
    <row r="427" spans="1:6" hidden="1" x14ac:dyDescent="0.25">
      <c r="A427" s="3"/>
      <c r="B427" s="3"/>
      <c r="C427" s="132"/>
      <c r="D427" s="2"/>
      <c r="E427" s="35"/>
      <c r="F427" s="97"/>
    </row>
    <row r="428" spans="1:6" ht="30" hidden="1" x14ac:dyDescent="0.25">
      <c r="A428" s="3">
        <v>4</v>
      </c>
      <c r="B428" s="3">
        <v>5</v>
      </c>
      <c r="C428" s="132" t="s">
        <v>98</v>
      </c>
      <c r="D428" s="2" t="s">
        <v>372</v>
      </c>
      <c r="E428" s="35">
        <f>E429</f>
        <v>0</v>
      </c>
      <c r="F428" s="97"/>
    </row>
    <row r="429" spans="1:6" hidden="1" x14ac:dyDescent="0.25">
      <c r="A429" s="3"/>
      <c r="B429" s="3"/>
      <c r="C429" s="132"/>
      <c r="D429" s="2"/>
      <c r="E429" s="35"/>
      <c r="F429" s="97"/>
    </row>
    <row r="430" spans="1:6" hidden="1" x14ac:dyDescent="0.25">
      <c r="A430" s="125">
        <v>4</v>
      </c>
      <c r="B430" s="125">
        <v>6</v>
      </c>
      <c r="C430" s="125"/>
      <c r="D430" s="16" t="s">
        <v>373</v>
      </c>
      <c r="E430" s="126">
        <f>E431</f>
        <v>0</v>
      </c>
      <c r="F430" s="125" t="s">
        <v>3</v>
      </c>
    </row>
    <row r="431" spans="1:6" hidden="1" x14ac:dyDescent="0.25">
      <c r="A431" s="3">
        <v>4</v>
      </c>
      <c r="B431" s="3">
        <v>6</v>
      </c>
      <c r="C431" s="132" t="s">
        <v>89</v>
      </c>
      <c r="D431" s="2" t="s">
        <v>374</v>
      </c>
      <c r="E431" s="109">
        <f>SUM(E432:E433)</f>
        <v>0</v>
      </c>
      <c r="F431" s="97"/>
    </row>
    <row r="432" spans="1:6" hidden="1" x14ac:dyDescent="0.25">
      <c r="A432" s="5"/>
      <c r="B432" s="5"/>
      <c r="C432" s="46"/>
      <c r="D432" s="12"/>
      <c r="E432" s="75"/>
      <c r="F432" s="46"/>
    </row>
    <row r="433" spans="1:13" hidden="1" x14ac:dyDescent="0.25">
      <c r="A433" s="5"/>
      <c r="B433" s="5"/>
      <c r="C433" s="47"/>
      <c r="D433" s="71"/>
      <c r="E433" s="50"/>
      <c r="F433" s="42"/>
    </row>
    <row r="434" spans="1:13" hidden="1" x14ac:dyDescent="0.25">
      <c r="A434" s="125">
        <v>4</v>
      </c>
      <c r="B434" s="125">
        <v>7</v>
      </c>
      <c r="C434" s="125"/>
      <c r="D434" s="16" t="s">
        <v>375</v>
      </c>
      <c r="E434" s="126">
        <f>E435+E438</f>
        <v>0</v>
      </c>
      <c r="F434" s="125"/>
    </row>
    <row r="435" spans="1:13" ht="30" hidden="1" x14ac:dyDescent="0.25">
      <c r="A435" s="3">
        <v>4</v>
      </c>
      <c r="B435" s="3">
        <v>7</v>
      </c>
      <c r="C435" s="34" t="s">
        <v>89</v>
      </c>
      <c r="D435" s="2" t="s">
        <v>376</v>
      </c>
      <c r="E435" s="35">
        <f>SUM(E436:E437)</f>
        <v>0</v>
      </c>
      <c r="F435" s="3" t="s">
        <v>3</v>
      </c>
    </row>
    <row r="436" spans="1:13" hidden="1" x14ac:dyDescent="0.25">
      <c r="A436" s="46"/>
      <c r="B436" s="46"/>
      <c r="C436" s="46"/>
      <c r="D436" s="71" t="s">
        <v>377</v>
      </c>
      <c r="E436" s="50">
        <v>0</v>
      </c>
      <c r="F436" s="42" t="s">
        <v>3</v>
      </c>
    </row>
    <row r="437" spans="1:13" hidden="1" x14ac:dyDescent="0.25">
      <c r="A437" s="46"/>
      <c r="B437" s="46"/>
      <c r="C437" s="46"/>
      <c r="D437" s="71"/>
      <c r="E437" s="50"/>
      <c r="F437" s="42"/>
    </row>
    <row r="438" spans="1:13" ht="30" hidden="1" x14ac:dyDescent="0.25">
      <c r="A438" s="3">
        <v>4</v>
      </c>
      <c r="B438" s="3">
        <v>7</v>
      </c>
      <c r="C438" s="34" t="s">
        <v>109</v>
      </c>
      <c r="D438" s="2" t="s">
        <v>378</v>
      </c>
      <c r="E438" s="35">
        <f>SUM(E439:E440)</f>
        <v>0</v>
      </c>
      <c r="F438" s="3" t="s">
        <v>3</v>
      </c>
    </row>
    <row r="439" spans="1:13" hidden="1" x14ac:dyDescent="0.25">
      <c r="A439" s="46"/>
      <c r="B439" s="46"/>
      <c r="C439" s="46"/>
      <c r="D439" s="71" t="s">
        <v>379</v>
      </c>
      <c r="E439" s="50">
        <v>0</v>
      </c>
      <c r="F439" s="42"/>
    </row>
    <row r="440" spans="1:13" hidden="1" x14ac:dyDescent="0.25">
      <c r="A440" s="46"/>
      <c r="B440" s="46"/>
      <c r="C440" s="46"/>
      <c r="D440" s="71"/>
      <c r="E440" s="50"/>
      <c r="F440" s="42"/>
    </row>
    <row r="441" spans="1:13" ht="27" x14ac:dyDescent="0.25">
      <c r="A441" s="141">
        <v>5</v>
      </c>
      <c r="B441" s="141"/>
      <c r="C441" s="141"/>
      <c r="D441" s="18" t="s">
        <v>75</v>
      </c>
      <c r="E441" s="142">
        <f>E442+E444+E446</f>
        <v>117611000</v>
      </c>
      <c r="F441" s="141"/>
    </row>
    <row r="442" spans="1:13" x14ac:dyDescent="0.25">
      <c r="A442" s="19">
        <v>5</v>
      </c>
      <c r="B442" s="19">
        <v>1</v>
      </c>
      <c r="C442" s="19"/>
      <c r="D442" s="19" t="s">
        <v>76</v>
      </c>
      <c r="E442" s="143">
        <f>E443</f>
        <v>6011000</v>
      </c>
      <c r="F442" s="19"/>
      <c r="H442" t="s">
        <v>466</v>
      </c>
      <c r="I442" s="164">
        <f>36*5000000</f>
        <v>180000000</v>
      </c>
    </row>
    <row r="443" spans="1:13" x14ac:dyDescent="0.25">
      <c r="A443" s="46">
        <v>5</v>
      </c>
      <c r="B443" s="46">
        <v>1</v>
      </c>
      <c r="C443" s="47" t="s">
        <v>380</v>
      </c>
      <c r="D443" s="46" t="s">
        <v>381</v>
      </c>
      <c r="E443" s="191">
        <v>6011000</v>
      </c>
      <c r="F443" s="46" t="s">
        <v>3</v>
      </c>
      <c r="H443" t="s">
        <v>467</v>
      </c>
      <c r="I443" s="164">
        <f>84*10000000</f>
        <v>840000000</v>
      </c>
    </row>
    <row r="444" spans="1:13" x14ac:dyDescent="0.25">
      <c r="A444" s="19">
        <v>5</v>
      </c>
      <c r="B444" s="19">
        <v>2</v>
      </c>
      <c r="C444" s="19"/>
      <c r="D444" s="19" t="s">
        <v>77</v>
      </c>
      <c r="E444" s="143">
        <f>E445</f>
        <v>0</v>
      </c>
      <c r="F444" s="19"/>
    </row>
    <row r="445" spans="1:13" x14ac:dyDescent="0.25">
      <c r="A445" s="46">
        <v>5</v>
      </c>
      <c r="B445" s="46">
        <v>2</v>
      </c>
      <c r="C445" s="47" t="s">
        <v>380</v>
      </c>
      <c r="D445" s="46" t="s">
        <v>382</v>
      </c>
      <c r="E445" s="75">
        <v>0</v>
      </c>
      <c r="F445" s="46" t="s">
        <v>9</v>
      </c>
    </row>
    <row r="446" spans="1:13" x14ac:dyDescent="0.25">
      <c r="A446" s="19">
        <v>5</v>
      </c>
      <c r="B446" s="19">
        <v>3</v>
      </c>
      <c r="C446" s="19"/>
      <c r="D446" s="19" t="s">
        <v>78</v>
      </c>
      <c r="E446" s="143">
        <f>E447</f>
        <v>111600000</v>
      </c>
      <c r="F446" s="19"/>
      <c r="J446" s="215" t="s">
        <v>491</v>
      </c>
      <c r="K446" s="215" t="s">
        <v>492</v>
      </c>
    </row>
    <row r="447" spans="1:13" x14ac:dyDescent="0.25">
      <c r="A447" s="46">
        <v>5</v>
      </c>
      <c r="B447" s="46">
        <v>3</v>
      </c>
      <c r="C447" s="47" t="s">
        <v>380</v>
      </c>
      <c r="D447" s="46" t="s">
        <v>383</v>
      </c>
      <c r="E447" s="75">
        <f>E448</f>
        <v>111600000</v>
      </c>
      <c r="F447" s="46" t="s">
        <v>3</v>
      </c>
      <c r="H447" s="219">
        <f>E448/M5*100</f>
        <v>10.001496639730139</v>
      </c>
      <c r="I447" t="s">
        <v>397</v>
      </c>
      <c r="J447" s="216">
        <f>M5*10%</f>
        <v>111583300</v>
      </c>
      <c r="K447" s="217">
        <f>J447/3600000</f>
        <v>30.995361111111112</v>
      </c>
      <c r="L447" s="164"/>
      <c r="M447" s="164"/>
    </row>
    <row r="448" spans="1:13" x14ac:dyDescent="0.25">
      <c r="A448" s="46"/>
      <c r="B448" s="46"/>
      <c r="C448" s="47"/>
      <c r="D448" s="55" t="s">
        <v>384</v>
      </c>
      <c r="E448" s="51">
        <v>111600000</v>
      </c>
      <c r="F448" s="42"/>
      <c r="H448" s="219">
        <f>E448/3600000</f>
        <v>31</v>
      </c>
      <c r="I448" t="s">
        <v>420</v>
      </c>
      <c r="J448" s="218"/>
      <c r="K448" s="218"/>
      <c r="L448" s="164"/>
      <c r="M448" s="164"/>
    </row>
    <row r="449" spans="1:13" x14ac:dyDescent="0.25">
      <c r="A449" s="144"/>
      <c r="B449" s="144"/>
      <c r="C449" s="144"/>
      <c r="D449" s="144" t="s">
        <v>385</v>
      </c>
      <c r="E449" s="145">
        <f>E450</f>
        <v>0</v>
      </c>
      <c r="F449" s="144"/>
      <c r="J449" s="218"/>
      <c r="K449" s="218"/>
      <c r="L449" s="164"/>
      <c r="M449" s="164"/>
    </row>
    <row r="450" spans="1:13" x14ac:dyDescent="0.25">
      <c r="A450" s="46"/>
      <c r="B450" s="46"/>
      <c r="C450" s="46"/>
      <c r="D450" s="46" t="s">
        <v>386</v>
      </c>
      <c r="E450" s="213">
        <v>0</v>
      </c>
      <c r="F450" s="46" t="s">
        <v>3</v>
      </c>
      <c r="H450" t="s">
        <v>482</v>
      </c>
      <c r="I450" s="164">
        <v>214995906.21000001</v>
      </c>
      <c r="J450" s="218"/>
      <c r="K450" s="218"/>
      <c r="L450" s="164"/>
      <c r="M450" s="164"/>
    </row>
    <row r="451" spans="1:13" x14ac:dyDescent="0.25">
      <c r="H451" t="s">
        <v>483</v>
      </c>
      <c r="I451" s="164">
        <v>214249589.21000001</v>
      </c>
      <c r="J451" s="218"/>
      <c r="K451" s="218"/>
      <c r="L451" s="164"/>
      <c r="M451" s="164"/>
    </row>
    <row r="452" spans="1:13" x14ac:dyDescent="0.25">
      <c r="H452" t="s">
        <v>401</v>
      </c>
      <c r="I452" s="164">
        <f>I450-I451</f>
        <v>746317</v>
      </c>
      <c r="J452" s="218"/>
      <c r="K452" s="218"/>
      <c r="L452" s="164"/>
      <c r="M452" s="164"/>
    </row>
    <row r="453" spans="1:13" x14ac:dyDescent="0.25">
      <c r="D453" s="192" t="s">
        <v>392</v>
      </c>
      <c r="E453" s="191">
        <f>E4+E155+E333+E391+E441</f>
        <v>2634470800</v>
      </c>
      <c r="I453" s="164"/>
      <c r="J453" s="164"/>
      <c r="K453" s="164"/>
      <c r="L453" s="164"/>
      <c r="M453" s="164"/>
    </row>
    <row r="454" spans="1:13" x14ac:dyDescent="0.25">
      <c r="D454" s="192" t="s">
        <v>422</v>
      </c>
      <c r="E454" s="191">
        <f>E453+E449</f>
        <v>2634470800</v>
      </c>
      <c r="I454" s="164"/>
      <c r="J454" s="164"/>
      <c r="K454" s="164"/>
      <c r="L454" s="164"/>
      <c r="M454" s="164"/>
    </row>
    <row r="455" spans="1:13" x14ac:dyDescent="0.25">
      <c r="I455" s="164"/>
    </row>
    <row r="456" spans="1:13" x14ac:dyDescent="0.25">
      <c r="I456" s="164"/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7716535433070868" header="0.31496062992125984" footer="0.31496062992125984"/>
  <pageSetup paperSize="14" scale="8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55"/>
  <sheetViews>
    <sheetView topLeftCell="A3" zoomScaleNormal="100" workbookViewId="0">
      <selection activeCell="Q16" sqref="Q16"/>
    </sheetView>
  </sheetViews>
  <sheetFormatPr defaultRowHeight="15" x14ac:dyDescent="0.25"/>
  <cols>
    <col min="1" max="1" width="3.5703125" customWidth="1"/>
    <col min="2" max="2" width="2" bestFit="1" customWidth="1"/>
    <col min="3" max="3" width="3.5703125" bestFit="1" customWidth="1"/>
    <col min="4" max="4" width="58.7109375" customWidth="1"/>
    <col min="5" max="5" width="16.5703125" customWidth="1"/>
    <col min="6" max="6" width="14.85546875" customWidth="1"/>
    <col min="8" max="8" width="16.28515625" bestFit="1" customWidth="1"/>
    <col min="9" max="9" width="17.140625" customWidth="1"/>
    <col min="10" max="10" width="14.140625" customWidth="1"/>
    <col min="11" max="11" width="16.140625" customWidth="1"/>
    <col min="12" max="12" width="15.85546875" customWidth="1"/>
    <col min="13" max="13" width="14.28515625" customWidth="1"/>
    <col min="14" max="14" width="13.140625" customWidth="1"/>
    <col min="15" max="15" width="14" customWidth="1"/>
    <col min="16" max="16" width="12.42578125" customWidth="1"/>
    <col min="17" max="17" width="15.42578125" bestFit="1" customWidth="1"/>
  </cols>
  <sheetData>
    <row r="1" spans="1:19" ht="9" customHeight="1" x14ac:dyDescent="0.25">
      <c r="A1" s="377" t="s">
        <v>81</v>
      </c>
      <c r="B1" s="377"/>
      <c r="C1" s="377"/>
      <c r="D1" s="377"/>
      <c r="E1" s="377"/>
      <c r="F1" s="377"/>
    </row>
    <row r="2" spans="1:19" ht="8.25" customHeight="1" x14ac:dyDescent="0.25">
      <c r="A2" s="378"/>
      <c r="B2" s="378"/>
      <c r="C2" s="378"/>
      <c r="D2" s="378"/>
      <c r="E2" s="378"/>
      <c r="F2" s="378"/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198" t="s">
        <v>80</v>
      </c>
      <c r="H3" s="173"/>
    </row>
    <row r="4" spans="1:19" x14ac:dyDescent="0.25">
      <c r="A4" s="7">
        <v>1</v>
      </c>
      <c r="B4" s="7"/>
      <c r="C4" s="7"/>
      <c r="D4" s="7" t="s">
        <v>21</v>
      </c>
      <c r="E4" s="31">
        <f>E5+E77+E97+E117+E147</f>
        <v>1369093900</v>
      </c>
      <c r="F4" s="32"/>
      <c r="H4" s="147" t="s">
        <v>387</v>
      </c>
      <c r="I4" s="148" t="s">
        <v>0</v>
      </c>
      <c r="J4" s="148" t="s">
        <v>1</v>
      </c>
      <c r="K4" s="148" t="s">
        <v>2</v>
      </c>
      <c r="L4" s="149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2261259800</v>
      </c>
      <c r="S4" s="150" t="s">
        <v>390</v>
      </c>
    </row>
    <row r="5" spans="1:19" ht="32.25" customHeight="1" x14ac:dyDescent="0.25">
      <c r="A5" s="8">
        <v>1</v>
      </c>
      <c r="B5" s="8">
        <v>1</v>
      </c>
      <c r="C5" s="8"/>
      <c r="D5" s="6" t="s">
        <v>20</v>
      </c>
      <c r="E5" s="33">
        <f>E6+E11+E19+E33+E52+E55+E61+E72+E74</f>
        <v>737157100</v>
      </c>
      <c r="F5" s="8"/>
      <c r="H5" s="147" t="s">
        <v>391</v>
      </c>
      <c r="I5" s="151">
        <f>PAGU!B11</f>
        <v>600882100</v>
      </c>
      <c r="J5" s="151">
        <f>PAGU!C28</f>
        <v>172811800</v>
      </c>
      <c r="K5" s="151">
        <f>PAGU!E28</f>
        <v>59043900</v>
      </c>
      <c r="L5" s="151">
        <f>[1]Sheet1!$L$3</f>
        <v>38000000</v>
      </c>
      <c r="M5" s="151">
        <f>PAGU!G11</f>
        <v>872122000</v>
      </c>
      <c r="N5" s="152">
        <f>[1]Sheet1!$M$3</f>
        <v>5000000</v>
      </c>
      <c r="O5" s="152">
        <f>[1]Sheet1!$J$3</f>
        <v>56400000</v>
      </c>
      <c r="P5" s="153">
        <f>[1]Sheet1!$K$3</f>
        <v>500000000</v>
      </c>
      <c r="Q5" s="154">
        <f>SUM(I5:P5)</f>
        <v>2304259800</v>
      </c>
      <c r="S5">
        <v>92931398</v>
      </c>
    </row>
    <row r="6" spans="1:19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72556000</v>
      </c>
      <c r="F6" s="3" t="s">
        <v>0</v>
      </c>
      <c r="H6" s="147" t="s">
        <v>392</v>
      </c>
      <c r="I6" s="151">
        <f>E7+E8+E12+E13+E15+E16+E17+E19+E34+E36+E38+E40+E50+E51+E53+E89+E118+E132+E140+E183+E318+E319+E410+E411</f>
        <v>605882100</v>
      </c>
      <c r="J6" s="151">
        <f>E44+E49+E78+E85+E96+E98+E109+E110+E122+E126+E127+E128+E137+E148+E151+E167+E340+E341+E353+E356+E378+E380+E387+E412+E413</f>
        <v>176811800</v>
      </c>
      <c r="K6" s="151">
        <f>E47+E88+E108+E135+E339+E357+E358++E371+E386</f>
        <v>63043900</v>
      </c>
      <c r="L6" s="151">
        <f>E9+E14+E18+E37+E43+E45+E46+E48+E54+E55+E87+E90</f>
        <v>41500000</v>
      </c>
      <c r="M6" s="151">
        <f>E61+E106+E157+E174+E181+E184+E185+E186+E187+E192+E199+E206+E239+E241+E243+E261+E272+E277+E289+E293+E317+E329+E397+E399+E415+E442+E446</f>
        <v>937122000</v>
      </c>
      <c r="N6" s="151">
        <f>E41+E42+E169</f>
        <v>10000000</v>
      </c>
      <c r="O6" s="151">
        <f>E72+E74</f>
        <v>56400000</v>
      </c>
      <c r="P6" s="155">
        <f>E95</f>
        <v>500000000</v>
      </c>
      <c r="Q6" s="156">
        <f>SUM(I6:P6)</f>
        <v>2390759800</v>
      </c>
      <c r="R6" s="79"/>
      <c r="S6" s="157">
        <f>S5+Q7</f>
        <v>6431398</v>
      </c>
    </row>
    <row r="7" spans="1:19" x14ac:dyDescent="0.25">
      <c r="A7" s="3"/>
      <c r="B7" s="3"/>
      <c r="C7" s="34"/>
      <c r="D7" s="36" t="s">
        <v>455</v>
      </c>
      <c r="E7" s="37">
        <v>48456000</v>
      </c>
      <c r="F7" s="37"/>
      <c r="H7" s="147"/>
      <c r="I7" s="155"/>
      <c r="J7" s="155"/>
      <c r="K7" s="155"/>
      <c r="L7" s="151"/>
      <c r="M7" s="155"/>
      <c r="N7" s="155"/>
      <c r="O7" s="155"/>
      <c r="P7" s="155"/>
      <c r="Q7" s="158">
        <f>Q5-Q6</f>
        <v>-86500000</v>
      </c>
      <c r="R7" s="79"/>
      <c r="S7" s="79"/>
    </row>
    <row r="8" spans="1:19" x14ac:dyDescent="0.25">
      <c r="A8" s="3"/>
      <c r="B8" s="3"/>
      <c r="C8" s="34"/>
      <c r="D8" s="36" t="s">
        <v>87</v>
      </c>
      <c r="E8" s="37">
        <v>22800000</v>
      </c>
      <c r="F8" s="37"/>
      <c r="H8" s="147" t="s">
        <v>393</v>
      </c>
      <c r="I8" s="152">
        <f>I5-I6</f>
        <v>-5000000</v>
      </c>
      <c r="J8" s="152">
        <f t="shared" ref="J8:P8" si="0">J5-J6</f>
        <v>-4000000</v>
      </c>
      <c r="K8" s="152">
        <f t="shared" si="0"/>
        <v>-4000000</v>
      </c>
      <c r="L8" s="152">
        <f t="shared" si="0"/>
        <v>-3500000</v>
      </c>
      <c r="M8" s="151">
        <f>M5-M6</f>
        <v>-65000000</v>
      </c>
      <c r="N8" s="151">
        <f t="shared" si="0"/>
        <v>-5000000</v>
      </c>
      <c r="O8" s="151">
        <f t="shared" si="0"/>
        <v>0</v>
      </c>
      <c r="P8" s="155">
        <f t="shared" si="0"/>
        <v>0</v>
      </c>
      <c r="Q8" s="156"/>
      <c r="R8" s="79"/>
      <c r="S8" s="79"/>
    </row>
    <row r="9" spans="1:19" x14ac:dyDescent="0.25">
      <c r="A9" s="3"/>
      <c r="B9" s="3"/>
      <c r="C9" s="34"/>
      <c r="D9" s="36" t="s">
        <v>88</v>
      </c>
      <c r="E9" s="37">
        <v>1300000</v>
      </c>
      <c r="F9" s="36" t="s">
        <v>6</v>
      </c>
      <c r="H9" s="79"/>
      <c r="I9" s="79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x14ac:dyDescent="0.25">
      <c r="A10" s="3"/>
      <c r="B10" s="3"/>
      <c r="C10" s="34"/>
      <c r="D10" s="38"/>
      <c r="E10" s="37"/>
      <c r="F10" s="3"/>
      <c r="H10" s="26" t="s">
        <v>395</v>
      </c>
      <c r="I10" s="25">
        <f>Q6-P6-O6</f>
        <v>1834359800</v>
      </c>
      <c r="J10" s="79">
        <v>630000000</v>
      </c>
      <c r="K10" s="159">
        <f>J5+K5</f>
        <v>231855700</v>
      </c>
      <c r="L10" s="159"/>
      <c r="M10" s="79">
        <f>M6*5%</f>
        <v>46856100</v>
      </c>
      <c r="N10" s="157"/>
      <c r="O10" s="157"/>
      <c r="P10" s="79"/>
      <c r="Q10" s="157"/>
      <c r="R10" s="79"/>
      <c r="S10" s="79"/>
    </row>
    <row r="11" spans="1:19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383418960</v>
      </c>
      <c r="F11" s="2" t="s">
        <v>90</v>
      </c>
      <c r="H11" s="160">
        <v>0.3</v>
      </c>
      <c r="I11" s="161">
        <f>I10*30%</f>
        <v>550307940</v>
      </c>
      <c r="K11" s="162">
        <f>J6+K6</f>
        <v>239855700</v>
      </c>
      <c r="L11" s="163"/>
      <c r="M11" s="164">
        <f>M5+M10</f>
        <v>918978100</v>
      </c>
      <c r="Q11" s="165">
        <v>601441000</v>
      </c>
      <c r="R11" s="79"/>
      <c r="S11" s="79"/>
    </row>
    <row r="12" spans="1:19" x14ac:dyDescent="0.25">
      <c r="A12" s="3"/>
      <c r="B12" s="3"/>
      <c r="C12" s="34"/>
      <c r="D12" s="36" t="s">
        <v>456</v>
      </c>
      <c r="E12" s="37">
        <v>33919200</v>
      </c>
      <c r="F12" s="39" t="s">
        <v>0</v>
      </c>
      <c r="H12" s="20" t="s">
        <v>396</v>
      </c>
      <c r="I12" s="166">
        <f>E5-E33-E61-E72-E74</f>
        <v>527445560</v>
      </c>
      <c r="J12" s="167">
        <f>I12/I10*100</f>
        <v>28.753658905957273</v>
      </c>
      <c r="K12" s="168" t="s">
        <v>397</v>
      </c>
      <c r="L12" s="169">
        <f>I5*5%</f>
        <v>30044105</v>
      </c>
      <c r="M12" s="164">
        <f>M5+M19</f>
        <v>937122000</v>
      </c>
      <c r="O12" s="164">
        <f>M5-239300000</f>
        <v>632822000</v>
      </c>
      <c r="P12" s="1"/>
      <c r="Q12" s="1">
        <v>582565000</v>
      </c>
      <c r="R12" s="79"/>
      <c r="S12" s="79"/>
    </row>
    <row r="13" spans="1:19" x14ac:dyDescent="0.25">
      <c r="A13" s="3"/>
      <c r="B13" s="3"/>
      <c r="C13" s="34"/>
      <c r="D13" s="36" t="s">
        <v>92</v>
      </c>
      <c r="E13" s="37">
        <v>16800000</v>
      </c>
      <c r="F13" s="39" t="s">
        <v>0</v>
      </c>
      <c r="H13" s="20" t="s">
        <v>398</v>
      </c>
      <c r="I13" s="170">
        <f>I11-I12</f>
        <v>22862380</v>
      </c>
      <c r="J13">
        <f>I5*5%</f>
        <v>30044105</v>
      </c>
      <c r="K13" s="171"/>
      <c r="L13" s="169"/>
      <c r="M13" s="164">
        <f>I5+J5+K5+M5+O5+P5</f>
        <v>2261259800</v>
      </c>
      <c r="Q13" s="164">
        <f>Q11-Q12</f>
        <v>18876000</v>
      </c>
      <c r="R13" s="79"/>
      <c r="S13" s="79"/>
    </row>
    <row r="14" spans="1:19" x14ac:dyDescent="0.25">
      <c r="A14" s="3"/>
      <c r="B14" s="3"/>
      <c r="C14" s="34"/>
      <c r="D14" s="36" t="s">
        <v>93</v>
      </c>
      <c r="E14" s="37">
        <v>1125000</v>
      </c>
      <c r="F14" s="39" t="s">
        <v>6</v>
      </c>
      <c r="H14" s="171"/>
      <c r="I14" s="172"/>
      <c r="J14" s="164">
        <f>I5+J13</f>
        <v>630926205</v>
      </c>
      <c r="K14" s="171"/>
      <c r="L14" s="169"/>
      <c r="M14" s="164"/>
      <c r="P14" t="s">
        <v>502</v>
      </c>
      <c r="Q14" s="164">
        <f>M5-'APBDesa Perub PAGU n SiLPA Fix '!E449</f>
        <v>760522000</v>
      </c>
      <c r="R14" s="79"/>
      <c r="S14" s="79"/>
    </row>
    <row r="15" spans="1:19" x14ac:dyDescent="0.25">
      <c r="A15" s="3"/>
      <c r="B15" s="3"/>
      <c r="C15" s="34"/>
      <c r="D15" s="36" t="s">
        <v>457</v>
      </c>
      <c r="E15" s="37">
        <v>218399760</v>
      </c>
      <c r="F15" s="36" t="s">
        <v>0</v>
      </c>
      <c r="H15" s="173">
        <f>E12+E15+E16</f>
        <v>252318960</v>
      </c>
      <c r="I15" s="173">
        <f>E14+E18</f>
        <v>6300000</v>
      </c>
      <c r="K15">
        <f>11*12</f>
        <v>132</v>
      </c>
      <c r="M15" s="173">
        <f>M5*8%</f>
        <v>69769760</v>
      </c>
      <c r="N15" s="164">
        <v>73000000</v>
      </c>
      <c r="P15" t="s">
        <v>503</v>
      </c>
      <c r="Q15">
        <f>Q14*40%</f>
        <v>304208800</v>
      </c>
    </row>
    <row r="16" spans="1:19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H16" s="173">
        <f>E13+E17</f>
        <v>124800000</v>
      </c>
      <c r="M16" s="173"/>
      <c r="N16" s="164"/>
    </row>
    <row r="17" spans="1:17" x14ac:dyDescent="0.25">
      <c r="A17" s="3"/>
      <c r="B17" s="3"/>
      <c r="C17" s="34"/>
      <c r="D17" s="36" t="s">
        <v>96</v>
      </c>
      <c r="E17" s="37">
        <v>108000000</v>
      </c>
      <c r="F17" s="36" t="s">
        <v>0</v>
      </c>
      <c r="H17" s="173">
        <f>SUM(E15:E16)</f>
        <v>218399760</v>
      </c>
      <c r="I17" s="173">
        <f>H17/108</f>
        <v>2022220</v>
      </c>
      <c r="J17" s="380">
        <f>J19+K19</f>
        <v>8000000</v>
      </c>
      <c r="K17" s="380"/>
    </row>
    <row r="18" spans="1:17" x14ac:dyDescent="0.25">
      <c r="A18" s="3"/>
      <c r="B18" s="3"/>
      <c r="C18" s="34"/>
      <c r="D18" s="36" t="s">
        <v>97</v>
      </c>
      <c r="E18" s="41">
        <v>5175000</v>
      </c>
      <c r="F18" s="42" t="s">
        <v>6</v>
      </c>
      <c r="H18" s="26"/>
      <c r="I18" s="174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SUM(E20:E32)</f>
        <v>18795600</v>
      </c>
      <c r="F19" s="3" t="s">
        <v>0</v>
      </c>
      <c r="H19" s="182" t="s">
        <v>390</v>
      </c>
      <c r="I19" s="176">
        <v>5000000</v>
      </c>
      <c r="J19" s="177">
        <v>4000000</v>
      </c>
      <c r="K19" s="177">
        <v>4000000</v>
      </c>
      <c r="L19" s="177">
        <v>3500000</v>
      </c>
      <c r="M19" s="197">
        <v>65000000</v>
      </c>
      <c r="N19" s="176">
        <v>5000000</v>
      </c>
      <c r="O19" s="176">
        <v>0</v>
      </c>
      <c r="P19" s="178">
        <v>0</v>
      </c>
      <c r="Q19" s="175"/>
    </row>
    <row r="20" spans="1:17" x14ac:dyDescent="0.25">
      <c r="A20" s="3"/>
      <c r="B20" s="3"/>
      <c r="C20" s="34"/>
      <c r="D20" s="43"/>
      <c r="E20" s="209" t="s">
        <v>480</v>
      </c>
      <c r="F20" s="210" t="s">
        <v>481</v>
      </c>
      <c r="H20" s="26" t="s">
        <v>399</v>
      </c>
      <c r="I20" s="381">
        <f>SUM(I19:N19)</f>
        <v>86500000</v>
      </c>
      <c r="J20" s="382"/>
      <c r="K20" s="382"/>
      <c r="L20" s="382"/>
      <c r="M20" s="382"/>
      <c r="N20" s="382"/>
      <c r="O20" s="382"/>
      <c r="P20" s="383"/>
      <c r="Q20" s="179"/>
    </row>
    <row r="21" spans="1:17" x14ac:dyDescent="0.25">
      <c r="A21" s="3"/>
      <c r="B21" s="3"/>
      <c r="C21" s="34"/>
      <c r="D21" s="43" t="s">
        <v>100</v>
      </c>
      <c r="E21" s="37">
        <f>F21*12</f>
        <v>1794000</v>
      </c>
      <c r="F21" s="37">
        <v>149500</v>
      </c>
      <c r="H21" s="180" t="s">
        <v>400</v>
      </c>
      <c r="I21" s="181">
        <f>I19-E16-E35-96753.61</f>
        <v>4903246.3899999997</v>
      </c>
      <c r="J21" s="181">
        <f>J8+J19</f>
        <v>0</v>
      </c>
      <c r="K21" s="181">
        <f>K8+K19</f>
        <v>0</v>
      </c>
      <c r="L21" s="181">
        <f>L19</f>
        <v>3500000</v>
      </c>
      <c r="M21" s="181">
        <f>M19</f>
        <v>65000000</v>
      </c>
      <c r="N21" s="181">
        <f>N8+N19</f>
        <v>0</v>
      </c>
      <c r="O21" s="181"/>
      <c r="P21" s="20"/>
      <c r="Q21" s="171"/>
    </row>
    <row r="22" spans="1:17" x14ac:dyDescent="0.25">
      <c r="A22" s="3"/>
      <c r="B22" s="3"/>
      <c r="C22" s="34"/>
      <c r="D22" s="43" t="s">
        <v>101</v>
      </c>
      <c r="E22" s="37">
        <f t="shared" ref="E22:E28" si="1">F22*12</f>
        <v>969600</v>
      </c>
      <c r="F22" s="37">
        <v>80800</v>
      </c>
      <c r="H22" s="26" t="s">
        <v>401</v>
      </c>
      <c r="I22" s="181">
        <f>I8+I19</f>
        <v>0</v>
      </c>
      <c r="J22" s="181">
        <f>J8+J19</f>
        <v>0</v>
      </c>
      <c r="K22" s="181">
        <f>K8+K19</f>
        <v>0</v>
      </c>
      <c r="L22" s="181">
        <f>L8+L19</f>
        <v>0</v>
      </c>
      <c r="M22" s="181">
        <f>M8+M19-E448</f>
        <v>0</v>
      </c>
      <c r="N22" s="181">
        <f>N8+N19</f>
        <v>0</v>
      </c>
      <c r="O22" s="181"/>
      <c r="P22" s="20"/>
    </row>
    <row r="23" spans="1:17" x14ac:dyDescent="0.25">
      <c r="A23" s="3"/>
      <c r="B23" s="3"/>
      <c r="C23" s="34"/>
      <c r="D23" s="43" t="s">
        <v>102</v>
      </c>
      <c r="E23" s="37">
        <f t="shared" si="1"/>
        <v>146400</v>
      </c>
      <c r="F23" s="37">
        <v>12200</v>
      </c>
    </row>
    <row r="24" spans="1:17" x14ac:dyDescent="0.25">
      <c r="A24" s="3"/>
      <c r="B24" s="3"/>
      <c r="C24" s="34"/>
      <c r="D24" s="43" t="s">
        <v>103</v>
      </c>
      <c r="E24" s="37">
        <f t="shared" si="1"/>
        <v>116400</v>
      </c>
      <c r="F24" s="37">
        <v>9700</v>
      </c>
      <c r="I24" s="173">
        <f>E7+E8</f>
        <v>71256000</v>
      </c>
    </row>
    <row r="25" spans="1:17" x14ac:dyDescent="0.25">
      <c r="A25" s="3"/>
      <c r="B25" s="3"/>
      <c r="C25" s="34"/>
      <c r="D25" s="43" t="s">
        <v>476</v>
      </c>
      <c r="E25" s="37">
        <f t="shared" si="1"/>
        <v>1255200</v>
      </c>
      <c r="F25" s="37">
        <v>104600</v>
      </c>
      <c r="I25" s="173"/>
    </row>
    <row r="26" spans="1:17" x14ac:dyDescent="0.25">
      <c r="A26" s="3"/>
      <c r="B26" s="3"/>
      <c r="C26" s="34"/>
      <c r="D26" s="43" t="s">
        <v>477</v>
      </c>
      <c r="E26" s="37">
        <f t="shared" si="1"/>
        <v>679200</v>
      </c>
      <c r="F26" s="37">
        <v>56600</v>
      </c>
      <c r="I26" s="173"/>
    </row>
    <row r="27" spans="1:17" x14ac:dyDescent="0.25">
      <c r="A27" s="3"/>
      <c r="B27" s="3"/>
      <c r="C27" s="34"/>
      <c r="D27" s="43" t="s">
        <v>478</v>
      </c>
      <c r="E27" s="37">
        <f t="shared" si="1"/>
        <v>102000</v>
      </c>
      <c r="F27" s="37">
        <v>8500</v>
      </c>
      <c r="I27" s="173"/>
    </row>
    <row r="28" spans="1:17" x14ac:dyDescent="0.25">
      <c r="A28" s="3"/>
      <c r="B28" s="3"/>
      <c r="C28" s="34"/>
      <c r="D28" s="43" t="s">
        <v>479</v>
      </c>
      <c r="E28" s="37">
        <f t="shared" si="1"/>
        <v>81600</v>
      </c>
      <c r="F28" s="208">
        <v>6800</v>
      </c>
    </row>
    <row r="29" spans="1:17" x14ac:dyDescent="0.25">
      <c r="A29" s="3"/>
      <c r="B29" s="3"/>
      <c r="C29" s="34"/>
      <c r="D29" s="43" t="s">
        <v>105</v>
      </c>
      <c r="E29" s="37">
        <f>F29*9*12</f>
        <v>8089200</v>
      </c>
      <c r="F29" s="208">
        <v>74900</v>
      </c>
      <c r="H29" s="173">
        <f>SUM(F21:F24)</f>
        <v>252200</v>
      </c>
      <c r="I29">
        <f>9*12</f>
        <v>108</v>
      </c>
      <c r="L29" t="s">
        <v>437</v>
      </c>
      <c r="M29" s="194">
        <f>M5*3%</f>
        <v>26163660</v>
      </c>
      <c r="Q29" s="164">
        <f>I20+Q7</f>
        <v>0</v>
      </c>
    </row>
    <row r="30" spans="1:17" x14ac:dyDescent="0.25">
      <c r="A30" s="3"/>
      <c r="B30" s="3"/>
      <c r="C30" s="34"/>
      <c r="D30" s="43" t="s">
        <v>106</v>
      </c>
      <c r="E30" s="37">
        <f t="shared" ref="E30:E32" si="2">F30*9*12</f>
        <v>4374000</v>
      </c>
      <c r="F30" s="208">
        <v>40500</v>
      </c>
      <c r="H30" s="173">
        <f>H29*12</f>
        <v>3026400</v>
      </c>
    </row>
    <row r="31" spans="1:17" x14ac:dyDescent="0.25">
      <c r="A31" s="3"/>
      <c r="B31" s="3"/>
      <c r="C31" s="34"/>
      <c r="D31" s="43" t="s">
        <v>107</v>
      </c>
      <c r="E31" s="37">
        <f t="shared" si="2"/>
        <v>658800</v>
      </c>
      <c r="F31" s="208">
        <v>6100</v>
      </c>
      <c r="I31">
        <f>L5*20%</f>
        <v>7600000</v>
      </c>
      <c r="K31" t="s">
        <v>442</v>
      </c>
      <c r="L31" s="164">
        <f>500000*12</f>
        <v>6000000</v>
      </c>
    </row>
    <row r="32" spans="1:17" x14ac:dyDescent="0.25">
      <c r="A32" s="3"/>
      <c r="B32" s="3"/>
      <c r="C32" s="34"/>
      <c r="D32" s="43" t="s">
        <v>108</v>
      </c>
      <c r="E32" s="37">
        <f t="shared" si="2"/>
        <v>529200</v>
      </c>
      <c r="F32" s="208">
        <v>4900</v>
      </c>
      <c r="I32" s="173">
        <f>E18+E14+E9</f>
        <v>7600000</v>
      </c>
      <c r="K32" t="s">
        <v>443</v>
      </c>
      <c r="L32" s="164">
        <f>300000*9*12</f>
        <v>32400000</v>
      </c>
    </row>
    <row r="33" spans="1:12" x14ac:dyDescent="0.25">
      <c r="A33" s="3">
        <v>1</v>
      </c>
      <c r="B33" s="3">
        <v>1</v>
      </c>
      <c r="C33" s="34" t="s">
        <v>109</v>
      </c>
      <c r="D33" s="4" t="s">
        <v>16</v>
      </c>
      <c r="E33" s="45">
        <f>SUM(E34:E51)</f>
        <v>128311540</v>
      </c>
      <c r="F33" s="2"/>
      <c r="L33" s="164">
        <f>SUM(L31:L32)</f>
        <v>38400000</v>
      </c>
    </row>
    <row r="34" spans="1:12" x14ac:dyDescent="0.25">
      <c r="A34" s="46"/>
      <c r="B34" s="46"/>
      <c r="C34" s="47"/>
      <c r="D34" s="48" t="s">
        <v>110</v>
      </c>
      <c r="E34" s="49">
        <v>4208560</v>
      </c>
      <c r="F34" s="42" t="s">
        <v>0</v>
      </c>
      <c r="G34" t="s">
        <v>6</v>
      </c>
    </row>
    <row r="35" spans="1:12" hidden="1" x14ac:dyDescent="0.25">
      <c r="A35" s="46"/>
      <c r="B35" s="46"/>
      <c r="C35" s="47"/>
      <c r="D35" s="48" t="s">
        <v>110</v>
      </c>
      <c r="E35" s="49">
        <v>0</v>
      </c>
      <c r="F35" s="42" t="s">
        <v>111</v>
      </c>
    </row>
    <row r="36" spans="1:12" x14ac:dyDescent="0.25">
      <c r="A36" s="46"/>
      <c r="B36" s="46"/>
      <c r="C36" s="47"/>
      <c r="D36" s="48" t="s">
        <v>112</v>
      </c>
      <c r="E36" s="49">
        <v>11000000</v>
      </c>
      <c r="F36" s="48" t="s">
        <v>0</v>
      </c>
      <c r="H36" s="173">
        <f>E38+I22</f>
        <v>927980</v>
      </c>
      <c r="I36" s="173">
        <f>E34+I22</f>
        <v>4208560</v>
      </c>
    </row>
    <row r="37" spans="1:12" x14ac:dyDescent="0.25">
      <c r="A37" s="46"/>
      <c r="B37" s="46"/>
      <c r="C37" s="47"/>
      <c r="D37" s="48" t="s">
        <v>113</v>
      </c>
      <c r="E37" s="49">
        <v>1200000</v>
      </c>
      <c r="F37" s="48" t="s">
        <v>6</v>
      </c>
    </row>
    <row r="38" spans="1:12" x14ac:dyDescent="0.25">
      <c r="A38" s="46"/>
      <c r="B38" s="46"/>
      <c r="C38" s="47"/>
      <c r="D38" s="42" t="s">
        <v>114</v>
      </c>
      <c r="E38" s="50">
        <v>927980</v>
      </c>
      <c r="F38" s="42" t="s">
        <v>0</v>
      </c>
    </row>
    <row r="39" spans="1:12" hidden="1" x14ac:dyDescent="0.25">
      <c r="A39" s="46"/>
      <c r="B39" s="46"/>
      <c r="C39" s="47"/>
      <c r="D39" s="42" t="s">
        <v>115</v>
      </c>
      <c r="E39" s="50">
        <v>0</v>
      </c>
      <c r="F39" s="42" t="s">
        <v>0</v>
      </c>
    </row>
    <row r="40" spans="1:12" x14ac:dyDescent="0.25">
      <c r="A40" s="46"/>
      <c r="B40" s="46"/>
      <c r="C40" s="47"/>
      <c r="D40" s="42" t="s">
        <v>116</v>
      </c>
      <c r="E40" s="50">
        <v>4000000</v>
      </c>
      <c r="F40" s="42" t="s">
        <v>0</v>
      </c>
      <c r="H40" s="1">
        <f>39138840-27300</f>
        <v>39111540</v>
      </c>
    </row>
    <row r="41" spans="1:12" x14ac:dyDescent="0.25">
      <c r="A41" s="46"/>
      <c r="B41" s="46"/>
      <c r="C41" s="47"/>
      <c r="D41" s="48" t="s">
        <v>410</v>
      </c>
      <c r="E41" s="49">
        <v>4000000</v>
      </c>
      <c r="F41" s="42" t="s">
        <v>9</v>
      </c>
    </row>
    <row r="42" spans="1:12" x14ac:dyDescent="0.25">
      <c r="A42" s="46"/>
      <c r="B42" s="46"/>
      <c r="C42" s="47"/>
      <c r="D42" s="48" t="s">
        <v>410</v>
      </c>
      <c r="E42" s="49">
        <v>3000000</v>
      </c>
      <c r="F42" s="42" t="s">
        <v>433</v>
      </c>
    </row>
    <row r="43" spans="1:12" x14ac:dyDescent="0.25">
      <c r="A43" s="46"/>
      <c r="B43" s="46"/>
      <c r="C43" s="46"/>
      <c r="D43" s="42" t="s">
        <v>117</v>
      </c>
      <c r="E43" s="50">
        <v>1000000</v>
      </c>
      <c r="F43" s="42" t="s">
        <v>6</v>
      </c>
      <c r="H43" s="193" t="s">
        <v>430</v>
      </c>
    </row>
    <row r="44" spans="1:12" x14ac:dyDescent="0.25">
      <c r="A44" s="46"/>
      <c r="B44" s="46"/>
      <c r="C44" s="46"/>
      <c r="D44" s="42" t="s">
        <v>118</v>
      </c>
      <c r="E44" s="50">
        <v>6000000</v>
      </c>
      <c r="F44" s="42" t="s">
        <v>1</v>
      </c>
    </row>
    <row r="45" spans="1:12" x14ac:dyDescent="0.25">
      <c r="A45" s="46"/>
      <c r="B45" s="46"/>
      <c r="C45" s="46"/>
      <c r="D45" s="42" t="s">
        <v>118</v>
      </c>
      <c r="E45" s="50">
        <v>5000000</v>
      </c>
      <c r="F45" s="42" t="s">
        <v>6</v>
      </c>
    </row>
    <row r="46" spans="1:12" x14ac:dyDescent="0.25">
      <c r="A46" s="46"/>
      <c r="B46" s="46"/>
      <c r="C46" s="46"/>
      <c r="D46" s="42" t="s">
        <v>118</v>
      </c>
      <c r="E46" s="50">
        <v>1000000</v>
      </c>
      <c r="F46" s="42" t="s">
        <v>431</v>
      </c>
    </row>
    <row r="47" spans="1:12" x14ac:dyDescent="0.25">
      <c r="A47" s="46"/>
      <c r="B47" s="46"/>
      <c r="C47" s="46"/>
      <c r="D47" s="42" t="s">
        <v>118</v>
      </c>
      <c r="E47" s="50">
        <v>7000000</v>
      </c>
      <c r="F47" s="42" t="s">
        <v>2</v>
      </c>
    </row>
    <row r="48" spans="1:12" x14ac:dyDescent="0.25">
      <c r="A48" s="46"/>
      <c r="B48" s="46"/>
      <c r="C48" s="46"/>
      <c r="D48" s="42" t="s">
        <v>119</v>
      </c>
      <c r="E48" s="50">
        <v>10000000</v>
      </c>
      <c r="F48" s="42" t="s">
        <v>6</v>
      </c>
    </row>
    <row r="49" spans="1:9" x14ac:dyDescent="0.25">
      <c r="A49" s="46"/>
      <c r="B49" s="46"/>
      <c r="C49" s="46"/>
      <c r="D49" s="42" t="s">
        <v>120</v>
      </c>
      <c r="E49" s="50">
        <v>51000000</v>
      </c>
      <c r="F49" s="42" t="s">
        <v>1</v>
      </c>
      <c r="H49" s="173">
        <f>SUM(E49:E50)</f>
        <v>61200000</v>
      </c>
      <c r="I49" s="164">
        <f>800000*12</f>
        <v>9600000</v>
      </c>
    </row>
    <row r="50" spans="1:9" x14ac:dyDescent="0.25">
      <c r="A50" s="46"/>
      <c r="B50" s="46"/>
      <c r="C50" s="46"/>
      <c r="D50" s="42" t="s">
        <v>120</v>
      </c>
      <c r="E50" s="50">
        <v>10200000</v>
      </c>
      <c r="F50" s="42" t="s">
        <v>0</v>
      </c>
      <c r="I50" s="164">
        <f>700000*12</f>
        <v>8400000</v>
      </c>
    </row>
    <row r="51" spans="1:9" x14ac:dyDescent="0.25">
      <c r="A51" s="46"/>
      <c r="B51" s="46"/>
      <c r="C51" s="46"/>
      <c r="D51" s="42" t="s">
        <v>121</v>
      </c>
      <c r="E51" s="50">
        <v>8775000</v>
      </c>
      <c r="F51" s="42" t="s">
        <v>0</v>
      </c>
      <c r="I51" s="164">
        <f>600000*6*12</f>
        <v>43200000</v>
      </c>
    </row>
    <row r="52" spans="1:9" x14ac:dyDescent="0.25">
      <c r="A52" s="5">
        <v>1</v>
      </c>
      <c r="B52" s="5">
        <v>1</v>
      </c>
      <c r="C52" s="53" t="s">
        <v>122</v>
      </c>
      <c r="D52" s="5" t="s">
        <v>17</v>
      </c>
      <c r="E52" s="54">
        <f>SUM(E53:E54)</f>
        <v>44300000</v>
      </c>
      <c r="F52" s="5" t="s">
        <v>0</v>
      </c>
      <c r="I52" s="194">
        <f>SUM(I49:I51)</f>
        <v>61200000</v>
      </c>
    </row>
    <row r="53" spans="1:9" x14ac:dyDescent="0.25">
      <c r="A53" s="5"/>
      <c r="B53" s="5"/>
      <c r="C53" s="53"/>
      <c r="D53" s="55" t="s">
        <v>123</v>
      </c>
      <c r="E53" s="50">
        <v>40500000</v>
      </c>
      <c r="F53" s="42" t="s">
        <v>0</v>
      </c>
      <c r="I53" s="164">
        <f>I52/12</f>
        <v>5100000</v>
      </c>
    </row>
    <row r="54" spans="1:9" x14ac:dyDescent="0.25">
      <c r="A54" s="5"/>
      <c r="B54" s="5"/>
      <c r="C54" s="53"/>
      <c r="D54" s="55" t="s">
        <v>124</v>
      </c>
      <c r="E54" s="50">
        <v>3800000</v>
      </c>
      <c r="F54" s="42" t="s">
        <v>6</v>
      </c>
      <c r="I54" s="164">
        <f>I53*2</f>
        <v>10200000</v>
      </c>
    </row>
    <row r="55" spans="1:9" x14ac:dyDescent="0.25">
      <c r="A55" s="5">
        <v>1</v>
      </c>
      <c r="B55" s="5">
        <v>1</v>
      </c>
      <c r="C55" s="53" t="s">
        <v>125</v>
      </c>
      <c r="D55" s="5" t="s">
        <v>18</v>
      </c>
      <c r="E55" s="54">
        <f>SUM(E56:E60)</f>
        <v>8375000</v>
      </c>
      <c r="F55" s="5" t="s">
        <v>6</v>
      </c>
      <c r="I55" s="164">
        <f>I53*10</f>
        <v>51000000</v>
      </c>
    </row>
    <row r="56" spans="1:9" x14ac:dyDescent="0.25">
      <c r="A56" s="46"/>
      <c r="B56" s="46"/>
      <c r="C56" s="46"/>
      <c r="D56" s="42" t="s">
        <v>126</v>
      </c>
      <c r="E56" s="50">
        <v>500000</v>
      </c>
      <c r="F56" s="42" t="s">
        <v>6</v>
      </c>
      <c r="I56" s="164"/>
    </row>
    <row r="57" spans="1:9" x14ac:dyDescent="0.25">
      <c r="A57" s="46"/>
      <c r="B57" s="46"/>
      <c r="C57" s="46"/>
      <c r="D57" s="42" t="s">
        <v>436</v>
      </c>
      <c r="E57" s="50">
        <v>3375000</v>
      </c>
      <c r="F57" s="42"/>
    </row>
    <row r="58" spans="1:9" x14ac:dyDescent="0.25">
      <c r="A58" s="46"/>
      <c r="B58" s="46"/>
      <c r="C58" s="46"/>
      <c r="D58" s="42" t="s">
        <v>127</v>
      </c>
      <c r="E58" s="50">
        <v>1000000</v>
      </c>
      <c r="F58" s="42" t="s">
        <v>6</v>
      </c>
    </row>
    <row r="59" spans="1:9" x14ac:dyDescent="0.25">
      <c r="A59" s="46"/>
      <c r="B59" s="46"/>
      <c r="C59" s="46"/>
      <c r="D59" s="42" t="s">
        <v>128</v>
      </c>
      <c r="E59" s="50">
        <v>2500000</v>
      </c>
      <c r="F59" s="42" t="s">
        <v>6</v>
      </c>
    </row>
    <row r="60" spans="1:9" x14ac:dyDescent="0.25">
      <c r="A60" s="46"/>
      <c r="B60" s="46"/>
      <c r="C60" s="46"/>
      <c r="D60" s="42" t="s">
        <v>129</v>
      </c>
      <c r="E60" s="50">
        <v>1000000</v>
      </c>
      <c r="F60" s="42" t="s">
        <v>6</v>
      </c>
    </row>
    <row r="61" spans="1:9" x14ac:dyDescent="0.25">
      <c r="A61" s="5">
        <v>1</v>
      </c>
      <c r="B61" s="5">
        <v>1</v>
      </c>
      <c r="C61" s="53" t="s">
        <v>160</v>
      </c>
      <c r="D61" s="5" t="s">
        <v>438</v>
      </c>
      <c r="E61" s="54">
        <f>E62+E65+E68</f>
        <v>25000000</v>
      </c>
      <c r="F61" s="5" t="s">
        <v>3</v>
      </c>
      <c r="H61" s="194">
        <f>M5*3%</f>
        <v>26163660</v>
      </c>
    </row>
    <row r="62" spans="1:9" x14ac:dyDescent="0.25">
      <c r="A62" s="46"/>
      <c r="B62" s="46"/>
      <c r="C62" s="55" t="s">
        <v>85</v>
      </c>
      <c r="D62" s="63" t="s">
        <v>439</v>
      </c>
      <c r="E62" s="64">
        <f>E63+E64</f>
        <v>5000000</v>
      </c>
      <c r="F62" s="42"/>
    </row>
    <row r="63" spans="1:9" x14ac:dyDescent="0.25">
      <c r="A63" s="46"/>
      <c r="B63" s="46"/>
      <c r="C63" s="55"/>
      <c r="D63" s="55" t="s">
        <v>468</v>
      </c>
      <c r="E63" s="50">
        <v>3000000</v>
      </c>
      <c r="F63" s="42"/>
    </row>
    <row r="64" spans="1:9" x14ac:dyDescent="0.25">
      <c r="A64" s="46"/>
      <c r="B64" s="46"/>
      <c r="C64" s="55"/>
      <c r="D64" s="55" t="s">
        <v>469</v>
      </c>
      <c r="E64" s="50">
        <v>2000000</v>
      </c>
      <c r="F64" s="42"/>
    </row>
    <row r="65" spans="1:7" s="188" customFormat="1" ht="30" x14ac:dyDescent="0.25">
      <c r="A65" s="97"/>
      <c r="B65" s="97"/>
      <c r="C65" s="38" t="s">
        <v>89</v>
      </c>
      <c r="D65" s="99" t="s">
        <v>440</v>
      </c>
      <c r="E65" s="100">
        <f>E66+E67</f>
        <v>5000000</v>
      </c>
      <c r="F65" s="36"/>
    </row>
    <row r="66" spans="1:7" s="188" customFormat="1" x14ac:dyDescent="0.25">
      <c r="A66" s="97"/>
      <c r="B66" s="97"/>
      <c r="C66" s="38"/>
      <c r="D66" s="101" t="s">
        <v>470</v>
      </c>
      <c r="E66" s="37">
        <v>2000000</v>
      </c>
      <c r="F66" s="36"/>
    </row>
    <row r="67" spans="1:7" s="188" customFormat="1" x14ac:dyDescent="0.25">
      <c r="A67" s="97"/>
      <c r="B67" s="97"/>
      <c r="C67" s="38"/>
      <c r="D67" s="101" t="s">
        <v>471</v>
      </c>
      <c r="E67" s="37">
        <v>3000000</v>
      </c>
      <c r="F67" s="36"/>
    </row>
    <row r="68" spans="1:7" x14ac:dyDescent="0.25">
      <c r="A68" s="46"/>
      <c r="B68" s="46"/>
      <c r="C68" s="55" t="s">
        <v>98</v>
      </c>
      <c r="D68" s="63" t="s">
        <v>441</v>
      </c>
      <c r="E68" s="64">
        <f>E69+E70+E71</f>
        <v>15000000</v>
      </c>
      <c r="F68" s="42"/>
    </row>
    <row r="69" spans="1:7" x14ac:dyDescent="0.25">
      <c r="A69" s="46"/>
      <c r="B69" s="46"/>
      <c r="C69" s="55"/>
      <c r="D69" s="55" t="s">
        <v>472</v>
      </c>
      <c r="E69" s="50">
        <v>2500000</v>
      </c>
      <c r="F69" s="42"/>
    </row>
    <row r="70" spans="1:7" x14ac:dyDescent="0.25">
      <c r="A70" s="46"/>
      <c r="B70" s="46"/>
      <c r="C70" s="55"/>
      <c r="D70" s="55" t="s">
        <v>473</v>
      </c>
      <c r="E70" s="50">
        <v>10000000</v>
      </c>
      <c r="F70" s="42"/>
    </row>
    <row r="71" spans="1:7" x14ac:dyDescent="0.25">
      <c r="A71" s="46"/>
      <c r="B71" s="46"/>
      <c r="C71" s="55"/>
      <c r="D71" s="55" t="s">
        <v>474</v>
      </c>
      <c r="E71" s="50">
        <v>2500000</v>
      </c>
      <c r="F71" s="42"/>
    </row>
    <row r="72" spans="1:7" x14ac:dyDescent="0.25">
      <c r="A72" s="5">
        <v>1</v>
      </c>
      <c r="B72" s="5">
        <v>1</v>
      </c>
      <c r="C72" s="53" t="s">
        <v>130</v>
      </c>
      <c r="D72" s="5" t="s">
        <v>19</v>
      </c>
      <c r="E72" s="54">
        <f>E73</f>
        <v>18000000</v>
      </c>
      <c r="F72" s="5" t="s">
        <v>131</v>
      </c>
    </row>
    <row r="73" spans="1:7" x14ac:dyDescent="0.25">
      <c r="A73" s="46"/>
      <c r="B73" s="46"/>
      <c r="C73" s="46"/>
      <c r="D73" s="42" t="s">
        <v>19</v>
      </c>
      <c r="E73" s="50">
        <v>18000000</v>
      </c>
      <c r="F73" s="42" t="s">
        <v>131</v>
      </c>
    </row>
    <row r="74" spans="1:7" x14ac:dyDescent="0.25">
      <c r="A74" s="5">
        <v>1</v>
      </c>
      <c r="B74" s="5">
        <v>1</v>
      </c>
      <c r="C74" s="53" t="s">
        <v>444</v>
      </c>
      <c r="D74" s="5" t="s">
        <v>445</v>
      </c>
      <c r="E74" s="54">
        <f>SUM(E75:E76)</f>
        <v>38400000</v>
      </c>
      <c r="F74" s="5" t="s">
        <v>131</v>
      </c>
    </row>
    <row r="75" spans="1:7" x14ac:dyDescent="0.25">
      <c r="A75" s="5"/>
      <c r="B75" s="5"/>
      <c r="C75" s="53"/>
      <c r="D75" s="42" t="s">
        <v>446</v>
      </c>
      <c r="E75" s="50">
        <v>6000000</v>
      </c>
      <c r="F75" s="42"/>
    </row>
    <row r="76" spans="1:7" x14ac:dyDescent="0.25">
      <c r="A76" s="46"/>
      <c r="B76" s="46"/>
      <c r="C76" s="46"/>
      <c r="D76" s="42" t="s">
        <v>447</v>
      </c>
      <c r="E76" s="50">
        <v>32400000</v>
      </c>
      <c r="F76" s="42"/>
    </row>
    <row r="77" spans="1:7" x14ac:dyDescent="0.25">
      <c r="A77" s="8">
        <v>1</v>
      </c>
      <c r="B77" s="8">
        <v>2</v>
      </c>
      <c r="C77" s="56"/>
      <c r="D77" s="8" t="s">
        <v>25</v>
      </c>
      <c r="E77" s="57">
        <f>E78+E83+E93</f>
        <v>570936800</v>
      </c>
      <c r="F77" s="58"/>
    </row>
    <row r="78" spans="1:7" x14ac:dyDescent="0.25">
      <c r="A78" s="5">
        <v>1</v>
      </c>
      <c r="B78" s="5">
        <v>2</v>
      </c>
      <c r="C78" s="53" t="s">
        <v>85</v>
      </c>
      <c r="D78" s="5" t="s">
        <v>22</v>
      </c>
      <c r="E78" s="54">
        <f>SUM(E79:E82)</f>
        <v>43811800</v>
      </c>
      <c r="F78" s="5" t="s">
        <v>1</v>
      </c>
    </row>
    <row r="79" spans="1:7" x14ac:dyDescent="0.25">
      <c r="A79" s="46"/>
      <c r="B79" s="46"/>
      <c r="C79" s="47"/>
      <c r="D79" s="42" t="s">
        <v>428</v>
      </c>
      <c r="E79" s="50">
        <v>14173600</v>
      </c>
      <c r="F79" s="42" t="s">
        <v>1</v>
      </c>
    </row>
    <row r="80" spans="1:7" x14ac:dyDescent="0.25">
      <c r="A80" s="46"/>
      <c r="B80" s="46"/>
      <c r="C80" s="47"/>
      <c r="D80" s="42" t="s">
        <v>423</v>
      </c>
      <c r="E80" s="50">
        <v>4000000</v>
      </c>
      <c r="F80" s="42" t="s">
        <v>1</v>
      </c>
      <c r="G80" s="204" t="s">
        <v>111</v>
      </c>
    </row>
    <row r="81" spans="1:7" x14ac:dyDescent="0.25">
      <c r="A81" s="46"/>
      <c r="B81" s="46"/>
      <c r="C81" s="47"/>
      <c r="D81" s="42" t="s">
        <v>459</v>
      </c>
      <c r="E81" s="50">
        <v>11000000</v>
      </c>
      <c r="F81" s="42" t="s">
        <v>1</v>
      </c>
      <c r="G81" s="204"/>
    </row>
    <row r="82" spans="1:7" x14ac:dyDescent="0.25">
      <c r="A82" s="46"/>
      <c r="B82" s="46"/>
      <c r="C82" s="47"/>
      <c r="D82" s="42" t="s">
        <v>460</v>
      </c>
      <c r="E82" s="50">
        <v>14638200</v>
      </c>
      <c r="F82" s="42" t="s">
        <v>1</v>
      </c>
      <c r="G82" s="204" t="s">
        <v>0</v>
      </c>
    </row>
    <row r="83" spans="1:7" x14ac:dyDescent="0.25">
      <c r="A83" s="3">
        <v>1</v>
      </c>
      <c r="B83" s="3">
        <v>2</v>
      </c>
      <c r="C83" s="34" t="s">
        <v>89</v>
      </c>
      <c r="D83" s="3" t="s">
        <v>23</v>
      </c>
      <c r="E83" s="35">
        <f>E84+E88+E89+E90</f>
        <v>22125000</v>
      </c>
      <c r="F83" s="59" t="s">
        <v>133</v>
      </c>
    </row>
    <row r="84" spans="1:7" x14ac:dyDescent="0.25">
      <c r="A84" s="5"/>
      <c r="B84" s="5"/>
      <c r="C84" s="53"/>
      <c r="D84" s="60" t="s">
        <v>134</v>
      </c>
      <c r="E84" s="61">
        <f>SUM(E85:E87)</f>
        <v>5900000</v>
      </c>
      <c r="F84" s="60" t="s">
        <v>135</v>
      </c>
    </row>
    <row r="85" spans="1:7" x14ac:dyDescent="0.25">
      <c r="A85" s="5"/>
      <c r="B85" s="5"/>
      <c r="C85" s="53"/>
      <c r="D85" s="62" t="s">
        <v>136</v>
      </c>
      <c r="E85" s="49">
        <v>5000000</v>
      </c>
      <c r="F85" s="48" t="s">
        <v>1</v>
      </c>
    </row>
    <row r="86" spans="1:7" hidden="1" x14ac:dyDescent="0.25">
      <c r="A86" s="5"/>
      <c r="B86" s="5"/>
      <c r="C86" s="53"/>
      <c r="D86" s="62" t="s">
        <v>136</v>
      </c>
      <c r="E86" s="49">
        <v>0</v>
      </c>
      <c r="F86" s="48" t="s">
        <v>0</v>
      </c>
    </row>
    <row r="87" spans="1:7" x14ac:dyDescent="0.25">
      <c r="A87" s="5"/>
      <c r="B87" s="5"/>
      <c r="C87" s="53"/>
      <c r="D87" s="62" t="s">
        <v>137</v>
      </c>
      <c r="E87" s="49">
        <v>900000</v>
      </c>
      <c r="F87" s="48" t="s">
        <v>6</v>
      </c>
    </row>
    <row r="88" spans="1:7" x14ac:dyDescent="0.25">
      <c r="A88" s="5"/>
      <c r="B88" s="5"/>
      <c r="C88" s="53"/>
      <c r="D88" s="63" t="s">
        <v>138</v>
      </c>
      <c r="E88" s="64">
        <v>4000000</v>
      </c>
      <c r="F88" s="63" t="s">
        <v>2</v>
      </c>
    </row>
    <row r="89" spans="1:7" x14ac:dyDescent="0.25">
      <c r="A89" s="5"/>
      <c r="B89" s="5"/>
      <c r="C89" s="53"/>
      <c r="D89" s="63" t="s">
        <v>139</v>
      </c>
      <c r="E89" s="64">
        <v>9600000</v>
      </c>
      <c r="F89" s="63" t="s">
        <v>0</v>
      </c>
    </row>
    <row r="90" spans="1:7" x14ac:dyDescent="0.25">
      <c r="A90" s="5"/>
      <c r="B90" s="5"/>
      <c r="C90" s="53"/>
      <c r="D90" s="63" t="s">
        <v>140</v>
      </c>
      <c r="E90" s="64">
        <f>E91+E92</f>
        <v>2625000</v>
      </c>
      <c r="F90" s="63" t="s">
        <v>6</v>
      </c>
    </row>
    <row r="91" spans="1:7" x14ac:dyDescent="0.25">
      <c r="A91" s="5"/>
      <c r="B91" s="5"/>
      <c r="C91" s="53"/>
      <c r="D91" s="65" t="s">
        <v>141</v>
      </c>
      <c r="E91" s="66">
        <v>1500000</v>
      </c>
      <c r="F91" s="67"/>
    </row>
    <row r="92" spans="1:7" x14ac:dyDescent="0.25">
      <c r="A92" s="5"/>
      <c r="B92" s="5"/>
      <c r="C92" s="53"/>
      <c r="D92" s="65" t="s">
        <v>142</v>
      </c>
      <c r="E92" s="66">
        <v>1125000</v>
      </c>
      <c r="F92" s="67"/>
    </row>
    <row r="93" spans="1:7" ht="30" x14ac:dyDescent="0.25">
      <c r="A93" s="3">
        <v>1</v>
      </c>
      <c r="B93" s="3">
        <v>2</v>
      </c>
      <c r="C93" s="34" t="s">
        <v>98</v>
      </c>
      <c r="D93" s="2" t="s">
        <v>24</v>
      </c>
      <c r="E93" s="35">
        <f>SUM(E94:E96)</f>
        <v>505000000</v>
      </c>
      <c r="F93" s="3" t="s">
        <v>4</v>
      </c>
    </row>
    <row r="94" spans="1:7" hidden="1" x14ac:dyDescent="0.25">
      <c r="A94" s="3"/>
      <c r="B94" s="3"/>
      <c r="C94" s="34"/>
      <c r="D94" s="65" t="s">
        <v>143</v>
      </c>
      <c r="E94" s="37">
        <v>0</v>
      </c>
      <c r="F94" s="36" t="s">
        <v>6</v>
      </c>
    </row>
    <row r="95" spans="1:7" x14ac:dyDescent="0.25">
      <c r="A95" s="5"/>
      <c r="B95" s="5"/>
      <c r="C95" s="53"/>
      <c r="D95" s="65" t="s">
        <v>143</v>
      </c>
      <c r="E95" s="66">
        <v>500000000</v>
      </c>
      <c r="F95" s="67" t="s">
        <v>4</v>
      </c>
    </row>
    <row r="96" spans="1:7" x14ac:dyDescent="0.25">
      <c r="A96" s="5"/>
      <c r="B96" s="5"/>
      <c r="C96" s="53"/>
      <c r="D96" s="65" t="s">
        <v>462</v>
      </c>
      <c r="E96" s="66">
        <v>5000000</v>
      </c>
      <c r="F96" s="67" t="s">
        <v>1</v>
      </c>
    </row>
    <row r="97" spans="1:7" ht="30" x14ac:dyDescent="0.25">
      <c r="A97" s="68">
        <v>1</v>
      </c>
      <c r="B97" s="68">
        <v>3</v>
      </c>
      <c r="C97" s="68"/>
      <c r="D97" s="9" t="s">
        <v>26</v>
      </c>
      <c r="E97" s="33">
        <f>E98+E102+E107+E110</f>
        <v>15000000</v>
      </c>
      <c r="F97" s="69"/>
    </row>
    <row r="98" spans="1:7" x14ac:dyDescent="0.25">
      <c r="A98" s="5">
        <v>1</v>
      </c>
      <c r="B98" s="5">
        <v>3</v>
      </c>
      <c r="C98" s="53" t="s">
        <v>85</v>
      </c>
      <c r="D98" s="70" t="s">
        <v>27</v>
      </c>
      <c r="E98" s="54">
        <f>SUM(E99:E101)</f>
        <v>2000000</v>
      </c>
      <c r="F98" s="12" t="s">
        <v>427</v>
      </c>
    </row>
    <row r="99" spans="1:7" x14ac:dyDescent="0.25">
      <c r="A99" s="46"/>
      <c r="B99" s="46"/>
      <c r="C99" s="46"/>
      <c r="D99" s="71" t="s">
        <v>144</v>
      </c>
      <c r="E99" s="50">
        <v>1000000</v>
      </c>
      <c r="F99" s="71" t="s">
        <v>426</v>
      </c>
    </row>
    <row r="100" spans="1:7" x14ac:dyDescent="0.25">
      <c r="A100" s="46"/>
      <c r="B100" s="46"/>
      <c r="C100" s="46"/>
      <c r="D100" s="71" t="s">
        <v>145</v>
      </c>
      <c r="E100" s="50">
        <v>500000</v>
      </c>
      <c r="F100" s="71" t="s">
        <v>1</v>
      </c>
    </row>
    <row r="101" spans="1:7" x14ac:dyDescent="0.25">
      <c r="A101" s="46"/>
      <c r="B101" s="46"/>
      <c r="C101" s="46"/>
      <c r="D101" s="71" t="s">
        <v>425</v>
      </c>
      <c r="E101" s="50">
        <v>500000</v>
      </c>
      <c r="F101" s="71" t="s">
        <v>1</v>
      </c>
    </row>
    <row r="102" spans="1:7" x14ac:dyDescent="0.25">
      <c r="A102" s="5">
        <v>1</v>
      </c>
      <c r="B102" s="5">
        <v>3</v>
      </c>
      <c r="C102" s="53" t="s">
        <v>89</v>
      </c>
      <c r="D102" s="5" t="s">
        <v>28</v>
      </c>
      <c r="E102" s="54">
        <f>SUM(E103:E106)</f>
        <v>6000000</v>
      </c>
      <c r="F102" s="5" t="s">
        <v>3</v>
      </c>
    </row>
    <row r="103" spans="1:7" hidden="1" x14ac:dyDescent="0.25">
      <c r="A103" s="46"/>
      <c r="B103" s="46"/>
      <c r="C103" s="46"/>
      <c r="D103" s="42" t="s">
        <v>146</v>
      </c>
      <c r="E103" s="50">
        <v>0</v>
      </c>
      <c r="F103" s="42" t="s">
        <v>6</v>
      </c>
    </row>
    <row r="104" spans="1:7" x14ac:dyDescent="0.25">
      <c r="A104" s="46"/>
      <c r="B104" s="46"/>
      <c r="C104" s="46"/>
      <c r="D104" s="42" t="s">
        <v>128</v>
      </c>
      <c r="E104" s="50">
        <v>0</v>
      </c>
      <c r="F104" s="73"/>
    </row>
    <row r="105" spans="1:7" x14ac:dyDescent="0.25">
      <c r="A105" s="46"/>
      <c r="B105" s="46"/>
      <c r="C105" s="46"/>
      <c r="D105" s="42" t="s">
        <v>145</v>
      </c>
      <c r="E105" s="50">
        <v>0</v>
      </c>
      <c r="F105" s="48" t="s">
        <v>6</v>
      </c>
    </row>
    <row r="106" spans="1:7" x14ac:dyDescent="0.25">
      <c r="A106" s="46"/>
      <c r="B106" s="46"/>
      <c r="C106" s="46"/>
      <c r="D106" s="42" t="s">
        <v>147</v>
      </c>
      <c r="E106" s="50">
        <v>6000000</v>
      </c>
      <c r="F106" s="48" t="s">
        <v>3</v>
      </c>
      <c r="G106" s="186"/>
    </row>
    <row r="107" spans="1:7" x14ac:dyDescent="0.25">
      <c r="A107" s="3">
        <v>1</v>
      </c>
      <c r="B107" s="3">
        <v>3</v>
      </c>
      <c r="C107" s="34" t="s">
        <v>98</v>
      </c>
      <c r="D107" s="2" t="s">
        <v>29</v>
      </c>
      <c r="E107" s="35">
        <f>SUM(E108:E109)</f>
        <v>3000000</v>
      </c>
      <c r="F107" s="3" t="s">
        <v>434</v>
      </c>
    </row>
    <row r="108" spans="1:7" x14ac:dyDescent="0.25">
      <c r="A108" s="46"/>
      <c r="B108" s="46"/>
      <c r="C108" s="46"/>
      <c r="D108" s="42" t="s">
        <v>144</v>
      </c>
      <c r="E108" s="50">
        <v>1500000</v>
      </c>
      <c r="F108" s="48" t="s">
        <v>2</v>
      </c>
    </row>
    <row r="109" spans="1:7" x14ac:dyDescent="0.25">
      <c r="A109" s="46"/>
      <c r="B109" s="46"/>
      <c r="C109" s="46"/>
      <c r="D109" s="42" t="s">
        <v>144</v>
      </c>
      <c r="E109" s="50">
        <v>1500000</v>
      </c>
      <c r="F109" s="48" t="s">
        <v>426</v>
      </c>
    </row>
    <row r="110" spans="1:7" x14ac:dyDescent="0.25">
      <c r="A110" s="3">
        <v>1</v>
      </c>
      <c r="B110" s="3">
        <v>3</v>
      </c>
      <c r="C110" s="34" t="s">
        <v>122</v>
      </c>
      <c r="D110" s="2" t="s">
        <v>30</v>
      </c>
      <c r="E110" s="35">
        <f>SUM(E111:E112)</f>
        <v>4000000</v>
      </c>
      <c r="F110" s="3" t="s">
        <v>1</v>
      </c>
    </row>
    <row r="111" spans="1:7" x14ac:dyDescent="0.25">
      <c r="A111" s="46"/>
      <c r="B111" s="46"/>
      <c r="C111" s="46"/>
      <c r="D111" s="42" t="s">
        <v>148</v>
      </c>
      <c r="E111" s="50">
        <v>4000000</v>
      </c>
      <c r="F111" s="74"/>
    </row>
    <row r="112" spans="1:7" hidden="1" x14ac:dyDescent="0.25">
      <c r="A112" s="46"/>
      <c r="B112" s="46"/>
      <c r="C112" s="46"/>
      <c r="D112" s="42"/>
      <c r="E112" s="50"/>
      <c r="F112" s="74"/>
    </row>
    <row r="113" spans="1:6" ht="15" hidden="1" customHeight="1" x14ac:dyDescent="0.25">
      <c r="A113" s="46"/>
      <c r="B113" s="46"/>
      <c r="C113" s="46"/>
      <c r="D113" s="42" t="s">
        <v>145</v>
      </c>
      <c r="E113" s="50">
        <v>0</v>
      </c>
      <c r="F113" s="42"/>
    </row>
    <row r="114" spans="1:6" ht="15" hidden="1" customHeight="1" x14ac:dyDescent="0.25">
      <c r="A114" s="46"/>
      <c r="B114" s="46"/>
      <c r="C114" s="46"/>
      <c r="D114" s="42" t="s">
        <v>128</v>
      </c>
      <c r="E114" s="50">
        <v>0</v>
      </c>
      <c r="F114" s="42"/>
    </row>
    <row r="115" spans="1:6" ht="15" hidden="1" customHeight="1" x14ac:dyDescent="0.25">
      <c r="A115" s="46"/>
      <c r="B115" s="46"/>
      <c r="C115" s="46"/>
      <c r="D115" s="42" t="s">
        <v>129</v>
      </c>
      <c r="E115" s="50">
        <v>0</v>
      </c>
      <c r="F115" s="63"/>
    </row>
    <row r="116" spans="1:6" ht="15" hidden="1" customHeight="1" x14ac:dyDescent="0.25">
      <c r="A116" s="46"/>
      <c r="B116" s="46"/>
      <c r="C116" s="46"/>
      <c r="D116" s="46" t="s">
        <v>150</v>
      </c>
      <c r="E116" s="75">
        <v>0</v>
      </c>
      <c r="F116" s="5"/>
    </row>
    <row r="117" spans="1:6" ht="30" x14ac:dyDescent="0.25">
      <c r="A117" s="68">
        <v>1</v>
      </c>
      <c r="B117" s="68">
        <v>4</v>
      </c>
      <c r="C117" s="68"/>
      <c r="D117" s="9" t="s">
        <v>31</v>
      </c>
      <c r="E117" s="33">
        <f>E118+E121+E124+E131+E137+E140</f>
        <v>46000000</v>
      </c>
      <c r="F117" s="68"/>
    </row>
    <row r="118" spans="1:6" ht="30" x14ac:dyDescent="0.25">
      <c r="A118" s="3">
        <v>1</v>
      </c>
      <c r="B118" s="3">
        <v>4</v>
      </c>
      <c r="C118" s="34" t="s">
        <v>85</v>
      </c>
      <c r="D118" s="2" t="s">
        <v>32</v>
      </c>
      <c r="E118" s="35">
        <f>SUM(E119:E120)</f>
        <v>3500000</v>
      </c>
      <c r="F118" s="3" t="s">
        <v>424</v>
      </c>
    </row>
    <row r="119" spans="1:6" x14ac:dyDescent="0.25">
      <c r="A119" s="46"/>
      <c r="B119" s="46"/>
      <c r="C119" s="46"/>
      <c r="D119" s="48" t="s">
        <v>128</v>
      </c>
      <c r="E119" s="49">
        <v>3500000</v>
      </c>
      <c r="F119" s="48" t="s">
        <v>424</v>
      </c>
    </row>
    <row r="120" spans="1:6" hidden="1" x14ac:dyDescent="0.25">
      <c r="A120" s="46"/>
      <c r="B120" s="46"/>
      <c r="C120" s="46"/>
      <c r="D120" s="48" t="s">
        <v>151</v>
      </c>
      <c r="E120" s="49">
        <v>0</v>
      </c>
      <c r="F120" s="48" t="s">
        <v>1</v>
      </c>
    </row>
    <row r="121" spans="1:6" x14ac:dyDescent="0.25">
      <c r="A121" s="5">
        <v>1</v>
      </c>
      <c r="B121" s="5">
        <v>4</v>
      </c>
      <c r="C121" s="53" t="s">
        <v>89</v>
      </c>
      <c r="D121" s="5" t="s">
        <v>33</v>
      </c>
      <c r="E121" s="54">
        <f>SUM(E122:E123)</f>
        <v>3000000</v>
      </c>
      <c r="F121" s="5" t="s">
        <v>1</v>
      </c>
    </row>
    <row r="122" spans="1:6" x14ac:dyDescent="0.25">
      <c r="A122" s="5"/>
      <c r="B122" s="5"/>
      <c r="C122" s="53"/>
      <c r="D122" s="48" t="s">
        <v>128</v>
      </c>
      <c r="E122" s="49">
        <v>3000000</v>
      </c>
      <c r="F122" s="48" t="s">
        <v>1</v>
      </c>
    </row>
    <row r="123" spans="1:6" hidden="1" x14ac:dyDescent="0.25">
      <c r="A123" s="5"/>
      <c r="B123" s="5"/>
      <c r="C123" s="53"/>
      <c r="D123" s="48" t="s">
        <v>145</v>
      </c>
      <c r="E123" s="49">
        <v>0</v>
      </c>
      <c r="F123" s="48" t="s">
        <v>1</v>
      </c>
    </row>
    <row r="124" spans="1:6" ht="35.25" customHeight="1" x14ac:dyDescent="0.25">
      <c r="A124" s="3">
        <v>1</v>
      </c>
      <c r="B124" s="3">
        <v>4</v>
      </c>
      <c r="C124" s="34" t="s">
        <v>98</v>
      </c>
      <c r="D124" s="2" t="s">
        <v>34</v>
      </c>
      <c r="E124" s="35">
        <f>SUM(E125:E130)</f>
        <v>8500000</v>
      </c>
      <c r="F124" s="2" t="s">
        <v>1</v>
      </c>
    </row>
    <row r="125" spans="1:6" hidden="1" x14ac:dyDescent="0.25">
      <c r="A125" s="46"/>
      <c r="B125" s="46"/>
      <c r="C125" s="46"/>
      <c r="D125" s="42" t="s">
        <v>152</v>
      </c>
      <c r="E125" s="50">
        <v>0</v>
      </c>
      <c r="F125" s="42" t="s">
        <v>6</v>
      </c>
    </row>
    <row r="126" spans="1:6" x14ac:dyDescent="0.25">
      <c r="A126" s="46"/>
      <c r="B126" s="46"/>
      <c r="C126" s="46"/>
      <c r="D126" s="42" t="s">
        <v>128</v>
      </c>
      <c r="E126" s="50">
        <v>1000000</v>
      </c>
      <c r="F126" s="42" t="s">
        <v>1</v>
      </c>
    </row>
    <row r="127" spans="1:6" x14ac:dyDescent="0.25">
      <c r="A127" s="46"/>
      <c r="B127" s="46"/>
      <c r="C127" s="46"/>
      <c r="D127" s="42" t="s">
        <v>153</v>
      </c>
      <c r="E127" s="49">
        <v>6000000</v>
      </c>
      <c r="F127" s="42" t="s">
        <v>1</v>
      </c>
    </row>
    <row r="128" spans="1:6" x14ac:dyDescent="0.25">
      <c r="A128" s="46"/>
      <c r="B128" s="46"/>
      <c r="C128" s="46"/>
      <c r="D128" s="42" t="s">
        <v>154</v>
      </c>
      <c r="E128" s="49">
        <v>1500000</v>
      </c>
      <c r="F128" s="42" t="s">
        <v>426</v>
      </c>
    </row>
    <row r="129" spans="1:6" hidden="1" x14ac:dyDescent="0.25">
      <c r="A129" s="46"/>
      <c r="B129" s="46"/>
      <c r="C129" s="46"/>
      <c r="D129" s="42" t="s">
        <v>155</v>
      </c>
      <c r="E129" s="49">
        <v>0</v>
      </c>
      <c r="F129" s="42" t="s">
        <v>1</v>
      </c>
    </row>
    <row r="130" spans="1:6" hidden="1" x14ac:dyDescent="0.25">
      <c r="A130" s="46"/>
      <c r="B130" s="46"/>
      <c r="C130" s="46"/>
      <c r="D130" s="42" t="s">
        <v>129</v>
      </c>
      <c r="E130" s="49">
        <v>0</v>
      </c>
      <c r="F130" s="42" t="s">
        <v>9</v>
      </c>
    </row>
    <row r="131" spans="1:6" x14ac:dyDescent="0.25">
      <c r="A131" s="5">
        <v>1</v>
      </c>
      <c r="B131" s="5">
        <v>4</v>
      </c>
      <c r="C131" s="53" t="s">
        <v>109</v>
      </c>
      <c r="D131" s="5" t="s">
        <v>35</v>
      </c>
      <c r="E131" s="54">
        <f>SUM(E132:E136)</f>
        <v>22400000</v>
      </c>
      <c r="F131" s="5" t="s">
        <v>156</v>
      </c>
    </row>
    <row r="132" spans="1:6" x14ac:dyDescent="0.25">
      <c r="A132" s="46"/>
      <c r="B132" s="46"/>
      <c r="C132" s="46"/>
      <c r="D132" s="42" t="s">
        <v>157</v>
      </c>
      <c r="E132" s="50">
        <v>20400000</v>
      </c>
      <c r="F132" s="42" t="s">
        <v>0</v>
      </c>
    </row>
    <row r="133" spans="1:6" hidden="1" x14ac:dyDescent="0.25">
      <c r="A133" s="46"/>
      <c r="B133" s="46"/>
      <c r="C133" s="46"/>
      <c r="D133" s="52" t="s">
        <v>158</v>
      </c>
      <c r="E133" s="50">
        <v>0</v>
      </c>
      <c r="F133" s="42" t="s">
        <v>6</v>
      </c>
    </row>
    <row r="134" spans="1:6" hidden="1" x14ac:dyDescent="0.25">
      <c r="A134" s="46"/>
      <c r="B134" s="46"/>
      <c r="C134" s="46"/>
      <c r="D134" s="42" t="s">
        <v>158</v>
      </c>
      <c r="E134" s="50">
        <v>0</v>
      </c>
      <c r="F134" s="42" t="s">
        <v>1</v>
      </c>
    </row>
    <row r="135" spans="1:6" x14ac:dyDescent="0.25">
      <c r="A135" s="46"/>
      <c r="B135" s="46"/>
      <c r="C135" s="46"/>
      <c r="D135" s="42" t="s">
        <v>128</v>
      </c>
      <c r="E135" s="50">
        <v>2000000</v>
      </c>
      <c r="F135" s="42" t="s">
        <v>2</v>
      </c>
    </row>
    <row r="136" spans="1:6" hidden="1" x14ac:dyDescent="0.25">
      <c r="A136" s="46"/>
      <c r="B136" s="46"/>
      <c r="C136" s="46"/>
      <c r="D136" s="42" t="s">
        <v>149</v>
      </c>
      <c r="E136" s="50">
        <v>0</v>
      </c>
      <c r="F136" s="42" t="s">
        <v>1</v>
      </c>
    </row>
    <row r="137" spans="1:6" ht="30" x14ac:dyDescent="0.25">
      <c r="A137" s="3">
        <v>1</v>
      </c>
      <c r="B137" s="3">
        <v>4</v>
      </c>
      <c r="C137" s="34" t="s">
        <v>159</v>
      </c>
      <c r="D137" s="2" t="s">
        <v>36</v>
      </c>
      <c r="E137" s="35">
        <f>SUM(E138:E139)</f>
        <v>2000000</v>
      </c>
      <c r="F137" s="3" t="s">
        <v>1</v>
      </c>
    </row>
    <row r="138" spans="1:6" x14ac:dyDescent="0.25">
      <c r="A138" s="46"/>
      <c r="B138" s="46"/>
      <c r="C138" s="46"/>
      <c r="D138" s="42" t="s">
        <v>128</v>
      </c>
      <c r="E138" s="50">
        <v>1000000</v>
      </c>
      <c r="F138" s="76"/>
    </row>
    <row r="139" spans="1:6" x14ac:dyDescent="0.25">
      <c r="A139" s="46"/>
      <c r="B139" s="46"/>
      <c r="C139" s="46"/>
      <c r="D139" s="42" t="s">
        <v>152</v>
      </c>
      <c r="E139" s="50">
        <v>1000000</v>
      </c>
      <c r="F139" s="76"/>
    </row>
    <row r="140" spans="1:6" x14ac:dyDescent="0.25">
      <c r="A140" s="5">
        <v>1</v>
      </c>
      <c r="B140" s="5">
        <v>4</v>
      </c>
      <c r="C140" s="53" t="s">
        <v>160</v>
      </c>
      <c r="D140" s="5" t="s">
        <v>37</v>
      </c>
      <c r="E140" s="54">
        <f>SUM(E141:E143)</f>
        <v>6600000</v>
      </c>
      <c r="F140" s="5" t="s">
        <v>0</v>
      </c>
    </row>
    <row r="141" spans="1:6" x14ac:dyDescent="0.25">
      <c r="A141" s="46"/>
      <c r="B141" s="46"/>
      <c r="C141" s="46"/>
      <c r="D141" s="46" t="s">
        <v>161</v>
      </c>
      <c r="E141" s="50">
        <v>6600000</v>
      </c>
      <c r="F141" s="46" t="s">
        <v>0</v>
      </c>
    </row>
    <row r="142" spans="1:6" hidden="1" x14ac:dyDescent="0.25">
      <c r="A142" s="46"/>
      <c r="B142" s="46"/>
      <c r="C142" s="46"/>
      <c r="D142" s="77" t="s">
        <v>162</v>
      </c>
      <c r="E142" s="49">
        <v>0</v>
      </c>
      <c r="F142" s="77"/>
    </row>
    <row r="143" spans="1:6" hidden="1" x14ac:dyDescent="0.25">
      <c r="A143" s="46"/>
      <c r="B143" s="46"/>
      <c r="C143" s="46"/>
      <c r="D143" s="46" t="s">
        <v>129</v>
      </c>
      <c r="E143" s="75">
        <v>0</v>
      </c>
      <c r="F143" s="46" t="s">
        <v>6</v>
      </c>
    </row>
    <row r="144" spans="1:6" ht="37.5" hidden="1" customHeight="1" x14ac:dyDescent="0.25">
      <c r="A144" s="3">
        <v>1</v>
      </c>
      <c r="B144" s="3">
        <v>4</v>
      </c>
      <c r="C144" s="34" t="s">
        <v>163</v>
      </c>
      <c r="D144" s="78" t="s">
        <v>164</v>
      </c>
      <c r="E144" s="35">
        <f>E145</f>
        <v>0</v>
      </c>
      <c r="F144" s="3"/>
    </row>
    <row r="145" spans="1:6" hidden="1" x14ac:dyDescent="0.25">
      <c r="A145" s="46"/>
      <c r="B145" s="46"/>
      <c r="C145" s="46"/>
      <c r="D145" s="46" t="s">
        <v>165</v>
      </c>
      <c r="E145" s="75"/>
      <c r="F145" s="46"/>
    </row>
    <row r="146" spans="1:6" hidden="1" x14ac:dyDescent="0.25">
      <c r="A146" s="46"/>
      <c r="B146" s="46"/>
      <c r="C146" s="46"/>
      <c r="D146" s="46"/>
      <c r="E146" s="75"/>
      <c r="F146" s="46"/>
    </row>
    <row r="147" spans="1:6" hidden="1" x14ac:dyDescent="0.25">
      <c r="A147" s="8">
        <v>1</v>
      </c>
      <c r="B147" s="8">
        <v>5</v>
      </c>
      <c r="C147" s="8"/>
      <c r="D147" s="10" t="s">
        <v>38</v>
      </c>
      <c r="E147" s="57">
        <f>E148+E151+E153</f>
        <v>0</v>
      </c>
      <c r="F147" s="8"/>
    </row>
    <row r="148" spans="1:6" ht="29.25" hidden="1" customHeight="1" x14ac:dyDescent="0.25">
      <c r="A148" s="3">
        <v>1</v>
      </c>
      <c r="B148" s="3">
        <v>5</v>
      </c>
      <c r="C148" s="34" t="s">
        <v>98</v>
      </c>
      <c r="D148" s="2" t="s">
        <v>39</v>
      </c>
      <c r="E148" s="35">
        <f>SUM(E149:E150)</f>
        <v>0</v>
      </c>
      <c r="F148" s="3" t="s">
        <v>1</v>
      </c>
    </row>
    <row r="149" spans="1:6" hidden="1" x14ac:dyDescent="0.25">
      <c r="A149" s="46"/>
      <c r="B149" s="46"/>
      <c r="C149" s="46"/>
      <c r="D149" s="42" t="s">
        <v>144</v>
      </c>
      <c r="E149" s="50">
        <v>0</v>
      </c>
      <c r="F149" s="42"/>
    </row>
    <row r="150" spans="1:6" hidden="1" x14ac:dyDescent="0.25">
      <c r="A150" s="46"/>
      <c r="B150" s="46"/>
      <c r="C150" s="46"/>
      <c r="D150" s="42" t="s">
        <v>166</v>
      </c>
      <c r="E150" s="50">
        <v>0</v>
      </c>
      <c r="F150" s="42"/>
    </row>
    <row r="151" spans="1:6" hidden="1" x14ac:dyDescent="0.25">
      <c r="A151" s="5">
        <v>1</v>
      </c>
      <c r="B151" s="5">
        <v>5</v>
      </c>
      <c r="C151" s="53" t="s">
        <v>125</v>
      </c>
      <c r="D151" s="79" t="s">
        <v>40</v>
      </c>
      <c r="E151" s="64">
        <f>E152</f>
        <v>0</v>
      </c>
      <c r="F151" s="63" t="s">
        <v>1</v>
      </c>
    </row>
    <row r="152" spans="1:6" hidden="1" x14ac:dyDescent="0.25">
      <c r="A152" s="5"/>
      <c r="B152" s="5"/>
      <c r="C152" s="53"/>
      <c r="D152" s="80" t="s">
        <v>167</v>
      </c>
      <c r="E152" s="50">
        <v>0</v>
      </c>
      <c r="F152" s="42"/>
    </row>
    <row r="153" spans="1:6" hidden="1" x14ac:dyDescent="0.25">
      <c r="A153" s="3">
        <v>1</v>
      </c>
      <c r="B153" s="81">
        <v>5</v>
      </c>
      <c r="C153" s="82" t="s">
        <v>159</v>
      </c>
      <c r="D153" s="83" t="s">
        <v>168</v>
      </c>
      <c r="E153" s="84">
        <f>E154</f>
        <v>0</v>
      </c>
      <c r="F153" s="81" t="s">
        <v>169</v>
      </c>
    </row>
    <row r="154" spans="1:6" hidden="1" x14ac:dyDescent="0.25">
      <c r="A154" s="46"/>
      <c r="B154" s="85"/>
      <c r="C154" s="85"/>
      <c r="D154" s="86" t="s">
        <v>170</v>
      </c>
      <c r="E154" s="87">
        <v>0</v>
      </c>
      <c r="F154" s="85"/>
    </row>
    <row r="155" spans="1:6" x14ac:dyDescent="0.25">
      <c r="A155" s="11">
        <v>2</v>
      </c>
      <c r="B155" s="11"/>
      <c r="C155" s="11"/>
      <c r="D155" s="11" t="s">
        <v>41</v>
      </c>
      <c r="E155" s="88">
        <f>E156+E194+E248+E271+E303+E310+E324+E325</f>
        <v>768222000</v>
      </c>
      <c r="F155" s="11"/>
    </row>
    <row r="156" spans="1:6" x14ac:dyDescent="0.25">
      <c r="A156" s="8">
        <v>2</v>
      </c>
      <c r="B156" s="8">
        <v>1</v>
      </c>
      <c r="C156" s="8"/>
      <c r="D156" s="10" t="s">
        <v>42</v>
      </c>
      <c r="E156" s="57">
        <f>E157+E165+E167+E169+E174+E177+E180+E187+E192</f>
        <v>111622000</v>
      </c>
      <c r="F156" s="8"/>
    </row>
    <row r="157" spans="1:6" ht="36" customHeight="1" x14ac:dyDescent="0.25">
      <c r="A157" s="3">
        <v>2</v>
      </c>
      <c r="B157" s="3">
        <v>1</v>
      </c>
      <c r="C157" s="34" t="s">
        <v>85</v>
      </c>
      <c r="D157" s="2" t="s">
        <v>43</v>
      </c>
      <c r="E157" s="35">
        <f>SUM(E158:E161)</f>
        <v>32400000</v>
      </c>
      <c r="F157" s="2" t="s">
        <v>3</v>
      </c>
    </row>
    <row r="158" spans="1:6" x14ac:dyDescent="0.25">
      <c r="A158" s="46"/>
      <c r="B158" s="46"/>
      <c r="C158" s="46"/>
      <c r="D158" s="42" t="s">
        <v>171</v>
      </c>
      <c r="E158" s="50">
        <v>18000000</v>
      </c>
      <c r="F158" s="42" t="s">
        <v>3</v>
      </c>
    </row>
    <row r="159" spans="1:6" x14ac:dyDescent="0.25">
      <c r="A159" s="46"/>
      <c r="B159" s="46"/>
      <c r="C159" s="46"/>
      <c r="D159" s="42" t="s">
        <v>435</v>
      </c>
      <c r="E159" s="50">
        <v>12000000</v>
      </c>
      <c r="F159" s="42" t="s">
        <v>3</v>
      </c>
    </row>
    <row r="160" spans="1:6" x14ac:dyDescent="0.25">
      <c r="A160" s="46"/>
      <c r="B160" s="46"/>
      <c r="C160" s="46"/>
      <c r="D160" s="42" t="s">
        <v>173</v>
      </c>
      <c r="E160" s="50">
        <v>1200000</v>
      </c>
      <c r="F160" s="42" t="s">
        <v>3</v>
      </c>
    </row>
    <row r="161" spans="1:6" x14ac:dyDescent="0.25">
      <c r="A161" s="46"/>
      <c r="B161" s="46"/>
      <c r="C161" s="46"/>
      <c r="D161" s="42" t="s">
        <v>174</v>
      </c>
      <c r="E161" s="50">
        <v>1200000</v>
      </c>
      <c r="F161" s="42" t="s">
        <v>3</v>
      </c>
    </row>
    <row r="162" spans="1:6" hidden="1" x14ac:dyDescent="0.25">
      <c r="A162" s="5">
        <v>2</v>
      </c>
      <c r="B162" s="5">
        <v>1</v>
      </c>
      <c r="C162" s="53" t="s">
        <v>89</v>
      </c>
      <c r="D162" s="5" t="s">
        <v>175</v>
      </c>
      <c r="E162" s="54"/>
      <c r="F162" s="5"/>
    </row>
    <row r="163" spans="1:6" hidden="1" x14ac:dyDescent="0.25">
      <c r="A163" s="5"/>
      <c r="B163" s="5"/>
      <c r="C163" s="53"/>
      <c r="D163" s="5"/>
      <c r="E163" s="54"/>
      <c r="F163" s="5"/>
    </row>
    <row r="164" spans="1:6" hidden="1" x14ac:dyDescent="0.25">
      <c r="A164" s="5"/>
      <c r="B164" s="5"/>
      <c r="C164" s="53"/>
      <c r="D164" s="5"/>
      <c r="E164" s="54"/>
      <c r="F164" s="5"/>
    </row>
    <row r="165" spans="1:6" hidden="1" x14ac:dyDescent="0.25">
      <c r="A165" s="89">
        <v>2</v>
      </c>
      <c r="B165" s="89">
        <v>1</v>
      </c>
      <c r="C165" s="90" t="s">
        <v>98</v>
      </c>
      <c r="D165" s="89" t="s">
        <v>176</v>
      </c>
      <c r="E165" s="91">
        <f>E166</f>
        <v>0</v>
      </c>
      <c r="F165" s="5" t="s">
        <v>3</v>
      </c>
    </row>
    <row r="166" spans="1:6" hidden="1" x14ac:dyDescent="0.25">
      <c r="A166" s="89"/>
      <c r="B166" s="89"/>
      <c r="C166" s="90"/>
      <c r="D166" s="48" t="s">
        <v>177</v>
      </c>
      <c r="E166" s="49">
        <v>0</v>
      </c>
      <c r="F166" s="5"/>
    </row>
    <row r="167" spans="1:6" ht="29.25" customHeight="1" x14ac:dyDescent="0.25">
      <c r="A167" s="3">
        <v>2</v>
      </c>
      <c r="B167" s="3">
        <v>1</v>
      </c>
      <c r="C167" s="34" t="s">
        <v>109</v>
      </c>
      <c r="D167" s="2" t="s">
        <v>44</v>
      </c>
      <c r="E167" s="35">
        <f>E168</f>
        <v>2000000</v>
      </c>
      <c r="F167" s="3" t="s">
        <v>1</v>
      </c>
    </row>
    <row r="168" spans="1:6" ht="18.75" customHeight="1" x14ac:dyDescent="0.25">
      <c r="A168" s="5"/>
      <c r="B168" s="5"/>
      <c r="C168" s="53"/>
      <c r="D168" s="71" t="s">
        <v>178</v>
      </c>
      <c r="E168" s="50">
        <v>2000000</v>
      </c>
      <c r="F168" s="92"/>
    </row>
    <row r="169" spans="1:6" ht="30" x14ac:dyDescent="0.25">
      <c r="A169" s="3">
        <v>2</v>
      </c>
      <c r="B169" s="3">
        <v>1</v>
      </c>
      <c r="C169" s="34" t="s">
        <v>122</v>
      </c>
      <c r="D169" s="2" t="s">
        <v>45</v>
      </c>
      <c r="E169" s="35">
        <f>E170+E171</f>
        <v>3000000</v>
      </c>
      <c r="F169" s="3" t="s">
        <v>9</v>
      </c>
    </row>
    <row r="170" spans="1:6" x14ac:dyDescent="0.25">
      <c r="A170" s="3"/>
      <c r="B170" s="3"/>
      <c r="C170" s="34"/>
      <c r="D170" s="43" t="s">
        <v>179</v>
      </c>
      <c r="E170" s="37">
        <v>1000000</v>
      </c>
      <c r="F170" s="36" t="s">
        <v>9</v>
      </c>
    </row>
    <row r="171" spans="1:6" x14ac:dyDescent="0.25">
      <c r="A171" s="3"/>
      <c r="B171" s="3"/>
      <c r="C171" s="34"/>
      <c r="D171" s="43" t="s">
        <v>179</v>
      </c>
      <c r="E171" s="37">
        <v>2000000</v>
      </c>
      <c r="F171" s="36" t="s">
        <v>433</v>
      </c>
    </row>
    <row r="172" spans="1:6" hidden="1" x14ac:dyDescent="0.25">
      <c r="A172" s="3"/>
      <c r="B172" s="3"/>
      <c r="C172" s="34"/>
      <c r="D172" s="43" t="s">
        <v>180</v>
      </c>
      <c r="E172" s="37">
        <v>0</v>
      </c>
      <c r="F172" s="36"/>
    </row>
    <row r="173" spans="1:6" hidden="1" x14ac:dyDescent="0.25">
      <c r="A173" s="3"/>
      <c r="B173" s="3"/>
      <c r="C173" s="34"/>
      <c r="D173" s="43" t="s">
        <v>181</v>
      </c>
      <c r="E173" s="37">
        <v>0</v>
      </c>
      <c r="F173" s="36"/>
    </row>
    <row r="174" spans="1:6" s="185" customFormat="1" ht="45" x14ac:dyDescent="0.25">
      <c r="A174" s="3">
        <v>2</v>
      </c>
      <c r="B174" s="3">
        <v>1</v>
      </c>
      <c r="C174" s="34" t="s">
        <v>125</v>
      </c>
      <c r="D174" s="2" t="s">
        <v>182</v>
      </c>
      <c r="E174" s="35">
        <f>SUM(E175:E176)</f>
        <v>21000000</v>
      </c>
      <c r="F174" s="3" t="s">
        <v>3</v>
      </c>
    </row>
    <row r="175" spans="1:6" x14ac:dyDescent="0.25">
      <c r="A175" s="3"/>
      <c r="B175" s="3"/>
      <c r="C175" s="34"/>
      <c r="D175" s="43" t="s">
        <v>464</v>
      </c>
      <c r="E175" s="37">
        <v>15000000</v>
      </c>
      <c r="F175" s="36"/>
    </row>
    <row r="176" spans="1:6" x14ac:dyDescent="0.25">
      <c r="A176" s="3"/>
      <c r="B176" s="3"/>
      <c r="C176" s="34"/>
      <c r="D176" s="43" t="s">
        <v>463</v>
      </c>
      <c r="E176" s="37">
        <v>6000000</v>
      </c>
      <c r="F176" s="76"/>
    </row>
    <row r="177" spans="1:6" s="185" customFormat="1" ht="30" hidden="1" x14ac:dyDescent="0.25">
      <c r="A177" s="3">
        <v>2</v>
      </c>
      <c r="B177" s="3">
        <v>1</v>
      </c>
      <c r="C177" s="34" t="s">
        <v>159</v>
      </c>
      <c r="D177" s="2" t="s">
        <v>188</v>
      </c>
      <c r="E177" s="35">
        <f>SUM(E178:E179)</f>
        <v>0</v>
      </c>
      <c r="F177" s="3" t="s">
        <v>3</v>
      </c>
    </row>
    <row r="178" spans="1:6" hidden="1" x14ac:dyDescent="0.25">
      <c r="A178" s="3"/>
      <c r="B178" s="3"/>
      <c r="C178" s="34"/>
      <c r="D178" s="43" t="s">
        <v>189</v>
      </c>
      <c r="E178" s="37">
        <v>0</v>
      </c>
      <c r="F178" s="3"/>
    </row>
    <row r="179" spans="1:6" hidden="1" x14ac:dyDescent="0.25">
      <c r="A179" s="3"/>
      <c r="B179" s="3"/>
      <c r="C179" s="34"/>
      <c r="D179" s="43" t="s">
        <v>190</v>
      </c>
      <c r="E179" s="37">
        <v>0</v>
      </c>
      <c r="F179" s="3"/>
    </row>
    <row r="180" spans="1:6" x14ac:dyDescent="0.25">
      <c r="A180" s="5">
        <v>2</v>
      </c>
      <c r="B180" s="5">
        <v>1</v>
      </c>
      <c r="C180" s="53" t="s">
        <v>160</v>
      </c>
      <c r="D180" s="12" t="s">
        <v>46</v>
      </c>
      <c r="E180" s="54">
        <f>SUM(E181:E186)</f>
        <v>37322000</v>
      </c>
      <c r="F180" s="5" t="s">
        <v>458</v>
      </c>
    </row>
    <row r="181" spans="1:6" x14ac:dyDescent="0.25">
      <c r="A181" s="5"/>
      <c r="B181" s="5"/>
      <c r="C181" s="53"/>
      <c r="D181" s="71" t="s">
        <v>191</v>
      </c>
      <c r="E181" s="50">
        <v>28800000</v>
      </c>
      <c r="F181" s="42" t="s">
        <v>3</v>
      </c>
    </row>
    <row r="182" spans="1:6" hidden="1" x14ac:dyDescent="0.25">
      <c r="A182" s="5"/>
      <c r="B182" s="5"/>
      <c r="C182" s="53"/>
      <c r="D182" s="71" t="s">
        <v>192</v>
      </c>
      <c r="E182" s="50">
        <v>0</v>
      </c>
      <c r="F182" s="42"/>
    </row>
    <row r="183" spans="1:6" x14ac:dyDescent="0.25">
      <c r="A183" s="5"/>
      <c r="B183" s="5"/>
      <c r="C183" s="53"/>
      <c r="D183" s="71" t="s">
        <v>149</v>
      </c>
      <c r="E183" s="50">
        <v>2000000</v>
      </c>
      <c r="F183" s="42" t="s">
        <v>0</v>
      </c>
    </row>
    <row r="184" spans="1:6" ht="12.75" customHeight="1" x14ac:dyDescent="0.25">
      <c r="A184" s="5"/>
      <c r="B184" s="5"/>
      <c r="C184" s="53"/>
      <c r="D184" s="71" t="s">
        <v>193</v>
      </c>
      <c r="E184" s="50">
        <v>522000</v>
      </c>
      <c r="F184" s="42" t="s">
        <v>3</v>
      </c>
    </row>
    <row r="185" spans="1:6" ht="12.75" customHeight="1" x14ac:dyDescent="0.25">
      <c r="A185" s="5"/>
      <c r="B185" s="5"/>
      <c r="C185" s="53"/>
      <c r="D185" s="71" t="s">
        <v>194</v>
      </c>
      <c r="E185" s="50">
        <v>3000000</v>
      </c>
      <c r="F185" s="42" t="s">
        <v>3</v>
      </c>
    </row>
    <row r="186" spans="1:6" x14ac:dyDescent="0.25">
      <c r="A186" s="5"/>
      <c r="B186" s="5"/>
      <c r="C186" s="53"/>
      <c r="D186" s="71" t="s">
        <v>195</v>
      </c>
      <c r="E186" s="50">
        <v>3000000</v>
      </c>
      <c r="F186" s="42" t="s">
        <v>3</v>
      </c>
    </row>
    <row r="187" spans="1:6" x14ac:dyDescent="0.25">
      <c r="A187" s="5">
        <v>2</v>
      </c>
      <c r="B187" s="5">
        <v>1</v>
      </c>
      <c r="C187" s="53" t="s">
        <v>196</v>
      </c>
      <c r="D187" s="12" t="s">
        <v>197</v>
      </c>
      <c r="E187" s="54">
        <f>SUM(E188:E190)</f>
        <v>5900000</v>
      </c>
      <c r="F187" s="5" t="s">
        <v>3</v>
      </c>
    </row>
    <row r="188" spans="1:6" x14ac:dyDescent="0.25">
      <c r="A188" s="5"/>
      <c r="B188" s="5"/>
      <c r="C188" s="53"/>
      <c r="D188" s="71" t="s">
        <v>417</v>
      </c>
      <c r="E188" s="50">
        <v>3000000</v>
      </c>
      <c r="F188" s="42"/>
    </row>
    <row r="189" spans="1:6" x14ac:dyDescent="0.25">
      <c r="A189" s="5"/>
      <c r="B189" s="5"/>
      <c r="C189" s="53"/>
      <c r="D189" s="71" t="s">
        <v>418</v>
      </c>
      <c r="E189" s="50">
        <v>2000000</v>
      </c>
      <c r="F189" s="42"/>
    </row>
    <row r="190" spans="1:6" x14ac:dyDescent="0.25">
      <c r="A190" s="5"/>
      <c r="B190" s="5"/>
      <c r="C190" s="53"/>
      <c r="D190" s="71" t="s">
        <v>419</v>
      </c>
      <c r="E190" s="50">
        <v>900000</v>
      </c>
      <c r="F190" s="42"/>
    </row>
    <row r="191" spans="1:6" hidden="1" x14ac:dyDescent="0.25">
      <c r="A191" s="5"/>
      <c r="B191" s="5"/>
      <c r="C191" s="53"/>
      <c r="D191" s="71" t="s">
        <v>198</v>
      </c>
      <c r="E191" s="50">
        <v>0</v>
      </c>
      <c r="F191" s="5"/>
    </row>
    <row r="192" spans="1:6" x14ac:dyDescent="0.25">
      <c r="A192" s="5">
        <v>2</v>
      </c>
      <c r="B192" s="5">
        <v>1</v>
      </c>
      <c r="C192" s="53" t="s">
        <v>199</v>
      </c>
      <c r="D192" s="12" t="s">
        <v>200</v>
      </c>
      <c r="E192" s="54">
        <f>E193</f>
        <v>10000000</v>
      </c>
      <c r="F192" s="5" t="s">
        <v>3</v>
      </c>
    </row>
    <row r="193" spans="1:8" x14ac:dyDescent="0.25">
      <c r="A193" s="5"/>
      <c r="B193" s="5"/>
      <c r="C193" s="53"/>
      <c r="D193" s="71" t="s">
        <v>201</v>
      </c>
      <c r="E193" s="50">
        <v>10000000</v>
      </c>
      <c r="F193" s="42" t="s">
        <v>432</v>
      </c>
    </row>
    <row r="194" spans="1:8" x14ac:dyDescent="0.25">
      <c r="A194" s="8">
        <v>2</v>
      </c>
      <c r="B194" s="8">
        <v>2</v>
      </c>
      <c r="C194" s="8"/>
      <c r="D194" s="6" t="s">
        <v>47</v>
      </c>
      <c r="E194" s="57">
        <f>E195+E199+E206+E209+E239+E241+E243</f>
        <v>202600000</v>
      </c>
      <c r="F194" s="8" t="s">
        <v>3</v>
      </c>
    </row>
    <row r="195" spans="1:8" hidden="1" x14ac:dyDescent="0.25">
      <c r="A195" s="5">
        <v>2</v>
      </c>
      <c r="B195" s="5">
        <v>2</v>
      </c>
      <c r="C195" s="53" t="s">
        <v>85</v>
      </c>
      <c r="D195" s="12" t="s">
        <v>202</v>
      </c>
      <c r="E195" s="54">
        <f>SUM(E196:E198)</f>
        <v>0</v>
      </c>
      <c r="F195" s="5" t="s">
        <v>3</v>
      </c>
    </row>
    <row r="196" spans="1:8" hidden="1" x14ac:dyDescent="0.25">
      <c r="A196" s="46"/>
      <c r="B196" s="46"/>
      <c r="C196" s="46"/>
      <c r="D196" s="71" t="s">
        <v>203</v>
      </c>
      <c r="E196" s="51">
        <v>0</v>
      </c>
      <c r="F196" s="42"/>
    </row>
    <row r="197" spans="1:8" hidden="1" x14ac:dyDescent="0.25">
      <c r="A197" s="46"/>
      <c r="B197" s="46"/>
      <c r="C197" s="46"/>
      <c r="D197" s="71" t="s">
        <v>204</v>
      </c>
      <c r="E197" s="51">
        <v>0</v>
      </c>
      <c r="F197" s="42"/>
    </row>
    <row r="198" spans="1:8" hidden="1" x14ac:dyDescent="0.25">
      <c r="A198" s="46"/>
      <c r="B198" s="46"/>
      <c r="C198" s="46"/>
      <c r="D198" s="71" t="s">
        <v>205</v>
      </c>
      <c r="E198" s="50">
        <v>0</v>
      </c>
      <c r="F198" s="42"/>
    </row>
    <row r="199" spans="1:8" x14ac:dyDescent="0.25">
      <c r="A199" s="5">
        <v>2</v>
      </c>
      <c r="B199" s="5">
        <v>2</v>
      </c>
      <c r="C199" s="53" t="s">
        <v>89</v>
      </c>
      <c r="D199" s="12" t="s">
        <v>48</v>
      </c>
      <c r="E199" s="54">
        <f>SUM(E200:E205)</f>
        <v>147600000</v>
      </c>
      <c r="F199" s="5" t="s">
        <v>3</v>
      </c>
    </row>
    <row r="200" spans="1:8" x14ac:dyDescent="0.25">
      <c r="A200" s="46"/>
      <c r="B200" s="46"/>
      <c r="C200" s="46"/>
      <c r="D200" s="71" t="s">
        <v>206</v>
      </c>
      <c r="E200" s="50">
        <v>40000000</v>
      </c>
      <c r="F200" s="42" t="s">
        <v>3</v>
      </c>
    </row>
    <row r="201" spans="1:8" x14ac:dyDescent="0.25">
      <c r="A201" s="46"/>
      <c r="B201" s="46"/>
      <c r="C201" s="46"/>
      <c r="D201" s="71" t="s">
        <v>402</v>
      </c>
      <c r="E201" s="50">
        <v>36000000</v>
      </c>
      <c r="F201" s="42" t="s">
        <v>3</v>
      </c>
      <c r="H201">
        <f>200000*15*12</f>
        <v>36000000</v>
      </c>
    </row>
    <row r="202" spans="1:8" hidden="1" x14ac:dyDescent="0.25">
      <c r="A202" s="97"/>
      <c r="B202" s="97"/>
      <c r="C202" s="97"/>
      <c r="D202" s="43" t="s">
        <v>207</v>
      </c>
      <c r="E202" s="37">
        <v>0</v>
      </c>
      <c r="F202" s="36" t="s">
        <v>3</v>
      </c>
    </row>
    <row r="203" spans="1:8" x14ac:dyDescent="0.25">
      <c r="A203" s="46"/>
      <c r="B203" s="46"/>
      <c r="C203" s="46"/>
      <c r="D203" s="98" t="s">
        <v>209</v>
      </c>
      <c r="E203" s="50">
        <v>2000000</v>
      </c>
      <c r="F203" s="42"/>
    </row>
    <row r="204" spans="1:8" x14ac:dyDescent="0.25">
      <c r="A204" s="46"/>
      <c r="B204" s="46"/>
      <c r="C204" s="46"/>
      <c r="D204" s="98" t="s">
        <v>210</v>
      </c>
      <c r="E204" s="50">
        <v>9600000</v>
      </c>
      <c r="F204" s="42" t="s">
        <v>3</v>
      </c>
    </row>
    <row r="205" spans="1:8" ht="16.5" customHeight="1" x14ac:dyDescent="0.25">
      <c r="A205" s="46"/>
      <c r="B205" s="46"/>
      <c r="C205" s="46"/>
      <c r="D205" s="71" t="s">
        <v>211</v>
      </c>
      <c r="E205" s="50">
        <v>60000000</v>
      </c>
      <c r="F205" s="42" t="s">
        <v>3</v>
      </c>
    </row>
    <row r="206" spans="1:8" x14ac:dyDescent="0.25">
      <c r="A206" s="5">
        <v>2</v>
      </c>
      <c r="B206" s="5">
        <v>2</v>
      </c>
      <c r="C206" s="53" t="s">
        <v>98</v>
      </c>
      <c r="D206" s="12" t="s">
        <v>49</v>
      </c>
      <c r="E206" s="54">
        <f>SUM(E207:E208)</f>
        <v>4000000</v>
      </c>
      <c r="F206" s="5" t="s">
        <v>3</v>
      </c>
    </row>
    <row r="207" spans="1:8" x14ac:dyDescent="0.25">
      <c r="A207" s="5"/>
      <c r="B207" s="5"/>
      <c r="C207" s="53"/>
      <c r="D207" s="71" t="s">
        <v>212</v>
      </c>
      <c r="E207" s="50">
        <v>2000000</v>
      </c>
      <c r="F207" s="42"/>
    </row>
    <row r="208" spans="1:8" x14ac:dyDescent="0.25">
      <c r="A208" s="5"/>
      <c r="B208" s="5"/>
      <c r="C208" s="53"/>
      <c r="D208" s="71" t="s">
        <v>213</v>
      </c>
      <c r="E208" s="50">
        <v>2000000</v>
      </c>
      <c r="F208" s="42"/>
    </row>
    <row r="209" spans="1:6" hidden="1" x14ac:dyDescent="0.25">
      <c r="A209" s="5">
        <v>2</v>
      </c>
      <c r="B209" s="5">
        <v>2</v>
      </c>
      <c r="C209" s="53" t="s">
        <v>109</v>
      </c>
      <c r="D209" s="12" t="s">
        <v>50</v>
      </c>
      <c r="E209" s="54">
        <f>E210+E214+E218+E219+E220+E221+E222+E227+E230+E234+E235+E236</f>
        <v>0</v>
      </c>
      <c r="F209" s="5" t="s">
        <v>3</v>
      </c>
    </row>
    <row r="210" spans="1:6" ht="30" hidden="1" x14ac:dyDescent="0.25">
      <c r="A210" s="5"/>
      <c r="B210" s="3"/>
      <c r="C210" s="34"/>
      <c r="D210" s="99" t="s">
        <v>214</v>
      </c>
      <c r="E210" s="100"/>
      <c r="F210" s="76" t="s">
        <v>3</v>
      </c>
    </row>
    <row r="211" spans="1:6" hidden="1" x14ac:dyDescent="0.25">
      <c r="A211" s="5"/>
      <c r="B211" s="3"/>
      <c r="C211" s="34"/>
      <c r="D211" s="101" t="s">
        <v>215</v>
      </c>
      <c r="E211" s="37"/>
      <c r="F211" s="36" t="s">
        <v>3</v>
      </c>
    </row>
    <row r="212" spans="1:6" hidden="1" x14ac:dyDescent="0.25">
      <c r="A212" s="5"/>
      <c r="B212" s="3"/>
      <c r="C212" s="34"/>
      <c r="D212" s="101" t="s">
        <v>216</v>
      </c>
      <c r="E212" s="37"/>
      <c r="F212" s="36" t="s">
        <v>3</v>
      </c>
    </row>
    <row r="213" spans="1:6" hidden="1" x14ac:dyDescent="0.25">
      <c r="A213" s="5"/>
      <c r="B213" s="3"/>
      <c r="C213" s="34"/>
      <c r="D213" s="101" t="s">
        <v>217</v>
      </c>
      <c r="E213" s="37">
        <v>0</v>
      </c>
      <c r="F213" s="36" t="s">
        <v>3</v>
      </c>
    </row>
    <row r="214" spans="1:6" hidden="1" x14ac:dyDescent="0.25">
      <c r="A214" s="5"/>
      <c r="B214" s="3"/>
      <c r="C214" s="34"/>
      <c r="D214" s="102" t="s">
        <v>218</v>
      </c>
      <c r="E214" s="100"/>
      <c r="F214" s="76" t="s">
        <v>3</v>
      </c>
    </row>
    <row r="215" spans="1:6" hidden="1" x14ac:dyDescent="0.25">
      <c r="A215" s="5"/>
      <c r="B215" s="3"/>
      <c r="C215" s="34"/>
      <c r="D215" s="101" t="s">
        <v>219</v>
      </c>
      <c r="E215" s="37"/>
      <c r="F215" s="36" t="s">
        <v>3</v>
      </c>
    </row>
    <row r="216" spans="1:6" hidden="1" x14ac:dyDescent="0.25">
      <c r="A216" s="5"/>
      <c r="B216" s="3"/>
      <c r="C216" s="34"/>
      <c r="D216" s="101" t="s">
        <v>220</v>
      </c>
      <c r="E216" s="37"/>
      <c r="F216" s="36" t="s">
        <v>3</v>
      </c>
    </row>
    <row r="217" spans="1:6" hidden="1" x14ac:dyDescent="0.25">
      <c r="A217" s="5"/>
      <c r="B217" s="3"/>
      <c r="C217" s="34"/>
      <c r="D217" s="101" t="s">
        <v>221</v>
      </c>
      <c r="E217" s="37"/>
      <c r="F217" s="36" t="s">
        <v>3</v>
      </c>
    </row>
    <row r="218" spans="1:6" hidden="1" x14ac:dyDescent="0.25">
      <c r="A218" s="5"/>
      <c r="B218" s="3"/>
      <c r="C218" s="34"/>
      <c r="D218" s="102" t="s">
        <v>222</v>
      </c>
      <c r="E218" s="100"/>
      <c r="F218" s="76" t="s">
        <v>3</v>
      </c>
    </row>
    <row r="219" spans="1:6" hidden="1" x14ac:dyDescent="0.25">
      <c r="A219" s="5"/>
      <c r="B219" s="3"/>
      <c r="C219" s="34"/>
      <c r="D219" s="102" t="s">
        <v>223</v>
      </c>
      <c r="E219" s="100"/>
      <c r="F219" s="76" t="s">
        <v>3</v>
      </c>
    </row>
    <row r="220" spans="1:6" hidden="1" x14ac:dyDescent="0.25">
      <c r="A220" s="5"/>
      <c r="B220" s="3"/>
      <c r="C220" s="34"/>
      <c r="D220" s="102" t="s">
        <v>224</v>
      </c>
      <c r="E220" s="100"/>
      <c r="F220" s="76" t="s">
        <v>3</v>
      </c>
    </row>
    <row r="221" spans="1:6" hidden="1" x14ac:dyDescent="0.25">
      <c r="A221" s="5"/>
      <c r="B221" s="3"/>
      <c r="C221" s="34"/>
      <c r="D221" s="102" t="s">
        <v>225</v>
      </c>
      <c r="E221" s="100"/>
      <c r="F221" s="76" t="s">
        <v>3</v>
      </c>
    </row>
    <row r="222" spans="1:6" hidden="1" x14ac:dyDescent="0.25">
      <c r="A222" s="5"/>
      <c r="B222" s="3"/>
      <c r="C222" s="34"/>
      <c r="D222" s="102" t="s">
        <v>226</v>
      </c>
      <c r="E222" s="100"/>
      <c r="F222" s="76" t="s">
        <v>3</v>
      </c>
    </row>
    <row r="223" spans="1:6" hidden="1" x14ac:dyDescent="0.25">
      <c r="A223" s="5"/>
      <c r="B223" s="3"/>
      <c r="C223" s="34"/>
      <c r="D223" s="101" t="s">
        <v>227</v>
      </c>
      <c r="E223" s="37"/>
      <c r="F223" s="36" t="s">
        <v>3</v>
      </c>
    </row>
    <row r="224" spans="1:6" hidden="1" x14ac:dyDescent="0.25">
      <c r="A224" s="5"/>
      <c r="B224" s="3"/>
      <c r="C224" s="34"/>
      <c r="D224" s="101" t="s">
        <v>228</v>
      </c>
      <c r="E224" s="37"/>
      <c r="F224" s="36" t="s">
        <v>3</v>
      </c>
    </row>
    <row r="225" spans="1:6" hidden="1" x14ac:dyDescent="0.25">
      <c r="A225" s="5"/>
      <c r="B225" s="3"/>
      <c r="C225" s="34"/>
      <c r="D225" s="101" t="s">
        <v>229</v>
      </c>
      <c r="E225" s="37"/>
      <c r="F225" s="36" t="s">
        <v>3</v>
      </c>
    </row>
    <row r="226" spans="1:6" hidden="1" x14ac:dyDescent="0.25">
      <c r="A226" s="53"/>
      <c r="B226" s="3"/>
      <c r="C226" s="34"/>
      <c r="D226" s="101" t="s">
        <v>230</v>
      </c>
      <c r="E226" s="37"/>
      <c r="F226" s="36" t="s">
        <v>3</v>
      </c>
    </row>
    <row r="227" spans="1:6" ht="30" hidden="1" x14ac:dyDescent="0.25">
      <c r="A227" s="53"/>
      <c r="B227" s="3"/>
      <c r="C227" s="34"/>
      <c r="D227" s="102" t="s">
        <v>231</v>
      </c>
      <c r="E227" s="100"/>
      <c r="F227" s="76" t="s">
        <v>3</v>
      </c>
    </row>
    <row r="228" spans="1:6" hidden="1" x14ac:dyDescent="0.25">
      <c r="A228" s="53"/>
      <c r="B228" s="3"/>
      <c r="C228" s="34"/>
      <c r="D228" s="101" t="s">
        <v>232</v>
      </c>
      <c r="E228" s="37"/>
      <c r="F228" s="36" t="s">
        <v>3</v>
      </c>
    </row>
    <row r="229" spans="1:6" hidden="1" x14ac:dyDescent="0.25">
      <c r="A229" s="53"/>
      <c r="B229" s="3"/>
      <c r="C229" s="34"/>
      <c r="D229" s="101" t="s">
        <v>233</v>
      </c>
      <c r="E229" s="37"/>
      <c r="F229" s="36" t="s">
        <v>3</v>
      </c>
    </row>
    <row r="230" spans="1:6" hidden="1" x14ac:dyDescent="0.25">
      <c r="A230" s="5"/>
      <c r="B230" s="3"/>
      <c r="C230" s="34"/>
      <c r="D230" s="99" t="s">
        <v>234</v>
      </c>
      <c r="E230" s="100"/>
      <c r="F230" s="76" t="s">
        <v>3</v>
      </c>
    </row>
    <row r="231" spans="1:6" hidden="1" x14ac:dyDescent="0.25">
      <c r="A231" s="53"/>
      <c r="B231" s="3"/>
      <c r="C231" s="34"/>
      <c r="D231" s="101" t="s">
        <v>209</v>
      </c>
      <c r="E231" s="37"/>
      <c r="F231" s="36" t="s">
        <v>3</v>
      </c>
    </row>
    <row r="232" spans="1:6" hidden="1" x14ac:dyDescent="0.25">
      <c r="A232" s="53"/>
      <c r="B232" s="3"/>
      <c r="C232" s="34"/>
      <c r="D232" s="101" t="s">
        <v>235</v>
      </c>
      <c r="E232" s="37"/>
      <c r="F232" s="36" t="s">
        <v>3</v>
      </c>
    </row>
    <row r="233" spans="1:6" hidden="1" x14ac:dyDescent="0.25">
      <c r="A233" s="5"/>
      <c r="B233" s="3"/>
      <c r="C233" s="34"/>
      <c r="D233" s="101" t="s">
        <v>236</v>
      </c>
      <c r="E233" s="37"/>
      <c r="F233" s="36" t="s">
        <v>3</v>
      </c>
    </row>
    <row r="234" spans="1:6" ht="30" hidden="1" x14ac:dyDescent="0.25">
      <c r="A234" s="5"/>
      <c r="B234" s="3"/>
      <c r="C234" s="34"/>
      <c r="D234" s="102" t="s">
        <v>237</v>
      </c>
      <c r="E234" s="100"/>
      <c r="F234" s="76" t="s">
        <v>3</v>
      </c>
    </row>
    <row r="235" spans="1:6" ht="30" hidden="1" x14ac:dyDescent="0.25">
      <c r="A235" s="5"/>
      <c r="B235" s="3"/>
      <c r="C235" s="34"/>
      <c r="D235" s="102" t="s">
        <v>238</v>
      </c>
      <c r="E235" s="100"/>
      <c r="F235" s="76" t="s">
        <v>3</v>
      </c>
    </row>
    <row r="236" spans="1:6" hidden="1" x14ac:dyDescent="0.25">
      <c r="A236" s="5"/>
      <c r="B236" s="3"/>
      <c r="C236" s="34"/>
      <c r="D236" s="99" t="s">
        <v>239</v>
      </c>
      <c r="E236" s="100">
        <f>SUM(E237:E238)</f>
        <v>0</v>
      </c>
      <c r="F236" s="76" t="s">
        <v>3</v>
      </c>
    </row>
    <row r="237" spans="1:6" hidden="1" x14ac:dyDescent="0.25">
      <c r="A237" s="5"/>
      <c r="B237" s="5"/>
      <c r="C237" s="53"/>
      <c r="D237" s="71" t="s">
        <v>212</v>
      </c>
      <c r="E237" s="50">
        <v>0</v>
      </c>
      <c r="F237" s="42" t="s">
        <v>3</v>
      </c>
    </row>
    <row r="238" spans="1:6" hidden="1" x14ac:dyDescent="0.25">
      <c r="A238" s="5"/>
      <c r="B238" s="5"/>
      <c r="C238" s="53"/>
      <c r="D238" s="71" t="s">
        <v>210</v>
      </c>
      <c r="E238" s="50">
        <v>0</v>
      </c>
      <c r="F238" s="42" t="s">
        <v>3</v>
      </c>
    </row>
    <row r="239" spans="1:6" x14ac:dyDescent="0.25">
      <c r="A239" s="5">
        <v>2</v>
      </c>
      <c r="B239" s="5">
        <v>2</v>
      </c>
      <c r="C239" s="53" t="s">
        <v>125</v>
      </c>
      <c r="D239" s="12" t="s">
        <v>51</v>
      </c>
      <c r="E239" s="54">
        <f>E240</f>
        <v>18000000</v>
      </c>
      <c r="F239" s="5" t="s">
        <v>3</v>
      </c>
    </row>
    <row r="240" spans="1:6" x14ac:dyDescent="0.25">
      <c r="A240" s="46"/>
      <c r="B240" s="46"/>
      <c r="C240" s="46"/>
      <c r="D240" s="71" t="s">
        <v>240</v>
      </c>
      <c r="E240" s="50">
        <v>18000000</v>
      </c>
      <c r="F240" s="42" t="s">
        <v>3</v>
      </c>
    </row>
    <row r="241" spans="1:7" x14ac:dyDescent="0.25">
      <c r="A241" s="5">
        <v>2</v>
      </c>
      <c r="B241" s="5">
        <v>2</v>
      </c>
      <c r="C241" s="53" t="s">
        <v>160</v>
      </c>
      <c r="D241" s="12" t="s">
        <v>241</v>
      </c>
      <c r="E241" s="54">
        <f>E242</f>
        <v>1000000</v>
      </c>
      <c r="F241" s="5" t="s">
        <v>3</v>
      </c>
    </row>
    <row r="242" spans="1:7" x14ac:dyDescent="0.25">
      <c r="A242" s="5"/>
      <c r="B242" s="5"/>
      <c r="C242" s="53"/>
      <c r="D242" s="98" t="s">
        <v>208</v>
      </c>
      <c r="E242" s="50">
        <v>1000000</v>
      </c>
      <c r="F242" s="42" t="s">
        <v>3</v>
      </c>
    </row>
    <row r="243" spans="1:7" s="185" customFormat="1" ht="30" x14ac:dyDescent="0.25">
      <c r="A243" s="3">
        <v>2</v>
      </c>
      <c r="B243" s="3">
        <v>2</v>
      </c>
      <c r="C243" s="34" t="s">
        <v>196</v>
      </c>
      <c r="D243" s="2" t="s">
        <v>242</v>
      </c>
      <c r="E243" s="35">
        <f>E244+E247</f>
        <v>32000000</v>
      </c>
      <c r="F243" s="3" t="s">
        <v>3</v>
      </c>
    </row>
    <row r="244" spans="1:7" x14ac:dyDescent="0.25">
      <c r="A244" s="3"/>
      <c r="B244" s="3"/>
      <c r="C244" s="34"/>
      <c r="D244" s="43" t="s">
        <v>243</v>
      </c>
      <c r="E244" s="37">
        <f>SUM(E245:E246)</f>
        <v>7000000</v>
      </c>
      <c r="F244" s="36" t="s">
        <v>3</v>
      </c>
    </row>
    <row r="245" spans="1:7" x14ac:dyDescent="0.25">
      <c r="A245" s="3"/>
      <c r="B245" s="3"/>
      <c r="C245" s="34"/>
      <c r="D245" s="98" t="s">
        <v>412</v>
      </c>
      <c r="E245" s="50">
        <v>5000000</v>
      </c>
      <c r="F245" s="42"/>
    </row>
    <row r="246" spans="1:7" x14ac:dyDescent="0.25">
      <c r="A246" s="3"/>
      <c r="B246" s="3"/>
      <c r="C246" s="34"/>
      <c r="D246" s="98" t="s">
        <v>411</v>
      </c>
      <c r="E246" s="50">
        <v>2000000</v>
      </c>
      <c r="F246" s="42"/>
    </row>
    <row r="247" spans="1:7" x14ac:dyDescent="0.25">
      <c r="A247" s="5"/>
      <c r="B247" s="5"/>
      <c r="C247" s="53"/>
      <c r="D247" s="43" t="s">
        <v>485</v>
      </c>
      <c r="E247" s="37">
        <v>25000000</v>
      </c>
      <c r="F247" s="42" t="s">
        <v>3</v>
      </c>
      <c r="G247" s="211"/>
    </row>
    <row r="248" spans="1:7" x14ac:dyDescent="0.25">
      <c r="A248" s="8">
        <v>2</v>
      </c>
      <c r="B248" s="8">
        <v>3</v>
      </c>
      <c r="C248" s="8"/>
      <c r="D248" s="6" t="s">
        <v>244</v>
      </c>
      <c r="E248" s="57">
        <f>E249+E251+E252+E254+E255+E259+E261+E264+E267+E269</f>
        <v>140000000</v>
      </c>
      <c r="F248" s="8"/>
    </row>
    <row r="249" spans="1:7" s="185" customFormat="1" hidden="1" x14ac:dyDescent="0.25">
      <c r="A249" s="89">
        <v>2</v>
      </c>
      <c r="B249" s="89">
        <v>3</v>
      </c>
      <c r="C249" s="90" t="s">
        <v>85</v>
      </c>
      <c r="D249" s="17" t="s">
        <v>245</v>
      </c>
      <c r="E249" s="91">
        <f>E250</f>
        <v>0</v>
      </c>
      <c r="F249" s="89" t="s">
        <v>3</v>
      </c>
    </row>
    <row r="250" spans="1:7" ht="30" hidden="1" x14ac:dyDescent="0.25">
      <c r="A250" s="89"/>
      <c r="B250" s="89"/>
      <c r="C250" s="90"/>
      <c r="D250" s="103" t="s">
        <v>246</v>
      </c>
      <c r="E250" s="104"/>
      <c r="F250" s="105" t="s">
        <v>3</v>
      </c>
    </row>
    <row r="251" spans="1:7" hidden="1" x14ac:dyDescent="0.25">
      <c r="A251" s="5">
        <v>2</v>
      </c>
      <c r="B251" s="5">
        <v>3</v>
      </c>
      <c r="C251" s="53" t="s">
        <v>89</v>
      </c>
      <c r="D251" s="12" t="s">
        <v>247</v>
      </c>
      <c r="E251" s="54"/>
      <c r="F251" s="5"/>
    </row>
    <row r="252" spans="1:7" hidden="1" x14ac:dyDescent="0.25">
      <c r="A252" s="5">
        <v>2</v>
      </c>
      <c r="B252" s="5">
        <v>3</v>
      </c>
      <c r="C252" s="53" t="s">
        <v>98</v>
      </c>
      <c r="D252" s="12" t="s">
        <v>248</v>
      </c>
      <c r="E252" s="54">
        <f>SUM(E253)</f>
        <v>0</v>
      </c>
      <c r="F252" s="5" t="s">
        <v>3</v>
      </c>
    </row>
    <row r="253" spans="1:7" ht="30" hidden="1" x14ac:dyDescent="0.25">
      <c r="A253" s="5"/>
      <c r="B253" s="5"/>
      <c r="C253" s="53"/>
      <c r="D253" s="43" t="s">
        <v>249</v>
      </c>
      <c r="E253" s="37">
        <v>0</v>
      </c>
      <c r="F253" s="5"/>
    </row>
    <row r="254" spans="1:7" hidden="1" x14ac:dyDescent="0.25">
      <c r="A254" s="5">
        <v>2</v>
      </c>
      <c r="B254" s="5">
        <v>3</v>
      </c>
      <c r="C254" s="53" t="s">
        <v>122</v>
      </c>
      <c r="D254" s="12" t="s">
        <v>250</v>
      </c>
      <c r="E254" s="54"/>
      <c r="F254" s="5"/>
    </row>
    <row r="255" spans="1:7" ht="30" hidden="1" x14ac:dyDescent="0.25">
      <c r="A255" s="3">
        <v>2</v>
      </c>
      <c r="B255" s="3">
        <v>3</v>
      </c>
      <c r="C255" s="34" t="s">
        <v>199</v>
      </c>
      <c r="D255" s="2" t="s">
        <v>251</v>
      </c>
      <c r="E255" s="35">
        <f>SUM(E256:E258)</f>
        <v>0</v>
      </c>
      <c r="F255" s="3" t="s">
        <v>3</v>
      </c>
    </row>
    <row r="256" spans="1:7" hidden="1" x14ac:dyDescent="0.25">
      <c r="A256" s="5"/>
      <c r="B256" s="5"/>
      <c r="C256" s="53"/>
      <c r="D256" s="43"/>
      <c r="E256" s="37"/>
      <c r="F256" s="5"/>
    </row>
    <row r="257" spans="1:6" hidden="1" x14ac:dyDescent="0.25">
      <c r="A257" s="5"/>
      <c r="B257" s="5"/>
      <c r="C257" s="53"/>
      <c r="D257" s="43"/>
      <c r="E257" s="37"/>
      <c r="F257" s="5"/>
    </row>
    <row r="258" spans="1:6" hidden="1" x14ac:dyDescent="0.25">
      <c r="A258" s="5"/>
      <c r="B258" s="5"/>
      <c r="C258" s="53"/>
      <c r="D258" s="71"/>
      <c r="E258" s="50"/>
      <c r="F258" s="5"/>
    </row>
    <row r="259" spans="1:6" ht="30" hidden="1" x14ac:dyDescent="0.25">
      <c r="A259" s="3">
        <v>2</v>
      </c>
      <c r="B259" s="3">
        <v>3</v>
      </c>
      <c r="C259" s="34" t="s">
        <v>163</v>
      </c>
      <c r="D259" s="2" t="s">
        <v>252</v>
      </c>
      <c r="E259" s="35">
        <f>SUM(E260:E260)</f>
        <v>0</v>
      </c>
      <c r="F259" s="3" t="s">
        <v>3</v>
      </c>
    </row>
    <row r="260" spans="1:6" hidden="1" x14ac:dyDescent="0.25">
      <c r="A260" s="3"/>
      <c r="B260" s="3"/>
      <c r="C260" s="34"/>
      <c r="D260" s="43" t="s">
        <v>253</v>
      </c>
      <c r="E260" s="37">
        <v>0</v>
      </c>
      <c r="F260" s="5"/>
    </row>
    <row r="261" spans="1:6" ht="30" x14ac:dyDescent="0.25">
      <c r="A261" s="3">
        <v>2</v>
      </c>
      <c r="B261" s="3">
        <v>3</v>
      </c>
      <c r="C261" s="34" t="s">
        <v>254</v>
      </c>
      <c r="D261" s="2" t="s">
        <v>255</v>
      </c>
      <c r="E261" s="35">
        <f>SUM(E262:E263)</f>
        <v>140000000</v>
      </c>
      <c r="F261" s="3" t="s">
        <v>3</v>
      </c>
    </row>
    <row r="262" spans="1:6" hidden="1" x14ac:dyDescent="0.25">
      <c r="A262" s="5"/>
      <c r="B262" s="5"/>
      <c r="C262" s="53"/>
      <c r="D262" s="71" t="s">
        <v>256</v>
      </c>
      <c r="E262" s="50">
        <v>0</v>
      </c>
      <c r="F262" s="42"/>
    </row>
    <row r="263" spans="1:6" ht="30" x14ac:dyDescent="0.25">
      <c r="A263" s="5"/>
      <c r="B263" s="5"/>
      <c r="C263" s="53"/>
      <c r="D263" s="43" t="s">
        <v>415</v>
      </c>
      <c r="E263" s="37">
        <v>140000000</v>
      </c>
      <c r="F263" s="5"/>
    </row>
    <row r="264" spans="1:6" ht="45" hidden="1" x14ac:dyDescent="0.25">
      <c r="A264" s="3">
        <v>2</v>
      </c>
      <c r="B264" s="3">
        <v>3</v>
      </c>
      <c r="C264" s="34" t="s">
        <v>257</v>
      </c>
      <c r="D264" s="2" t="s">
        <v>258</v>
      </c>
      <c r="E264" s="35">
        <f>SUM(E265:E266)</f>
        <v>0</v>
      </c>
      <c r="F264" s="3" t="s">
        <v>6</v>
      </c>
    </row>
    <row r="265" spans="1:6" ht="30" hidden="1" x14ac:dyDescent="0.25">
      <c r="A265" s="3"/>
      <c r="B265" s="3"/>
      <c r="C265" s="34"/>
      <c r="D265" s="43" t="s">
        <v>259</v>
      </c>
      <c r="E265" s="37">
        <v>0</v>
      </c>
      <c r="F265" s="3"/>
    </row>
    <row r="266" spans="1:6" hidden="1" x14ac:dyDescent="0.25">
      <c r="A266" s="5"/>
      <c r="B266" s="5"/>
      <c r="C266" s="53"/>
      <c r="D266" s="71" t="s">
        <v>260</v>
      </c>
      <c r="E266" s="50">
        <v>0</v>
      </c>
      <c r="F266" s="5"/>
    </row>
    <row r="267" spans="1:6" ht="30" hidden="1" x14ac:dyDescent="0.25">
      <c r="A267" s="3">
        <v>2</v>
      </c>
      <c r="B267" s="3">
        <v>3</v>
      </c>
      <c r="C267" s="34" t="s">
        <v>261</v>
      </c>
      <c r="D267" s="2" t="s">
        <v>262</v>
      </c>
      <c r="E267" s="35">
        <f>E268</f>
        <v>0</v>
      </c>
      <c r="F267" s="3" t="s">
        <v>3</v>
      </c>
    </row>
    <row r="268" spans="1:6" ht="30" hidden="1" x14ac:dyDescent="0.25">
      <c r="A268" s="3"/>
      <c r="B268" s="3"/>
      <c r="C268" s="34"/>
      <c r="D268" s="43" t="s">
        <v>263</v>
      </c>
      <c r="E268" s="37">
        <v>0</v>
      </c>
      <c r="F268" s="3"/>
    </row>
    <row r="269" spans="1:6" ht="30" hidden="1" x14ac:dyDescent="0.25">
      <c r="A269" s="3">
        <v>2</v>
      </c>
      <c r="B269" s="3">
        <v>3</v>
      </c>
      <c r="C269" s="34" t="s">
        <v>264</v>
      </c>
      <c r="D269" s="2" t="s">
        <v>265</v>
      </c>
      <c r="E269" s="35">
        <f>SUM(E270:E270)</f>
        <v>0</v>
      </c>
      <c r="F269" s="3" t="s">
        <v>3</v>
      </c>
    </row>
    <row r="270" spans="1:6" hidden="1" x14ac:dyDescent="0.25">
      <c r="A270" s="3"/>
      <c r="B270" s="3"/>
      <c r="C270" s="34"/>
      <c r="D270" s="43" t="s">
        <v>266</v>
      </c>
      <c r="E270" s="40">
        <v>0</v>
      </c>
      <c r="F270" s="3"/>
    </row>
    <row r="271" spans="1:6" x14ac:dyDescent="0.25">
      <c r="A271" s="8">
        <v>2</v>
      </c>
      <c r="B271" s="8">
        <v>4</v>
      </c>
      <c r="C271" s="8"/>
      <c r="D271" s="6" t="s">
        <v>267</v>
      </c>
      <c r="E271" s="57">
        <f>E272+E275+E277+E284+E286+E289+E292+E294</f>
        <v>283000000</v>
      </c>
      <c r="F271" s="8"/>
    </row>
    <row r="272" spans="1:6" ht="30" x14ac:dyDescent="0.25">
      <c r="A272" s="3">
        <v>2</v>
      </c>
      <c r="B272" s="3">
        <v>4</v>
      </c>
      <c r="C272" s="34" t="s">
        <v>85</v>
      </c>
      <c r="D272" s="2" t="s">
        <v>268</v>
      </c>
      <c r="E272" s="35">
        <f>SUM(E273:E274)</f>
        <v>192000000</v>
      </c>
      <c r="F272" s="3" t="s">
        <v>3</v>
      </c>
    </row>
    <row r="273" spans="1:8" ht="30" x14ac:dyDescent="0.25">
      <c r="A273" s="5"/>
      <c r="B273" s="3"/>
      <c r="C273" s="34"/>
      <c r="D273" s="43" t="s">
        <v>475</v>
      </c>
      <c r="E273" s="37">
        <v>80000000</v>
      </c>
      <c r="F273" s="36" t="s">
        <v>3</v>
      </c>
    </row>
    <row r="274" spans="1:8" x14ac:dyDescent="0.25">
      <c r="A274" s="5"/>
      <c r="B274" s="3"/>
      <c r="C274" s="34"/>
      <c r="D274" s="43" t="s">
        <v>484</v>
      </c>
      <c r="E274" s="37">
        <v>112000000</v>
      </c>
      <c r="F274" s="36" t="s">
        <v>3</v>
      </c>
      <c r="H274" s="173">
        <f>E274/4000000</f>
        <v>28</v>
      </c>
    </row>
    <row r="275" spans="1:8" hidden="1" x14ac:dyDescent="0.25">
      <c r="A275" s="3">
        <v>2</v>
      </c>
      <c r="B275" s="3">
        <v>4</v>
      </c>
      <c r="C275" s="34" t="s">
        <v>98</v>
      </c>
      <c r="D275" s="2" t="s">
        <v>270</v>
      </c>
      <c r="E275" s="35">
        <f>SUM(E276:E276)</f>
        <v>0</v>
      </c>
      <c r="F275" s="3" t="s">
        <v>3</v>
      </c>
    </row>
    <row r="276" spans="1:8" hidden="1" x14ac:dyDescent="0.25">
      <c r="A276" s="5"/>
      <c r="B276" s="3"/>
      <c r="C276" s="34"/>
      <c r="D276" s="43" t="s">
        <v>271</v>
      </c>
      <c r="E276" s="37">
        <v>0</v>
      </c>
      <c r="F276" s="3"/>
    </row>
    <row r="277" spans="1:8" s="185" customFormat="1" x14ac:dyDescent="0.25">
      <c r="A277" s="3">
        <v>2</v>
      </c>
      <c r="B277" s="3">
        <v>4</v>
      </c>
      <c r="C277" s="34" t="s">
        <v>159</v>
      </c>
      <c r="D277" s="2" t="s">
        <v>272</v>
      </c>
      <c r="E277" s="35">
        <f>SUM(E278:E283)</f>
        <v>41000000</v>
      </c>
      <c r="F277" s="3" t="s">
        <v>3</v>
      </c>
    </row>
    <row r="278" spans="1:8" x14ac:dyDescent="0.25">
      <c r="A278" s="5"/>
      <c r="B278" s="5"/>
      <c r="C278" s="53"/>
      <c r="D278" s="207" t="s">
        <v>487</v>
      </c>
      <c r="E278" s="40">
        <v>36000000</v>
      </c>
      <c r="F278" s="3"/>
      <c r="H278">
        <f>1000000*6*6</f>
        <v>36000000</v>
      </c>
    </row>
    <row r="279" spans="1:8" x14ac:dyDescent="0.25">
      <c r="A279" s="5"/>
      <c r="B279" s="5"/>
      <c r="C279" s="53"/>
      <c r="D279" s="71" t="s">
        <v>274</v>
      </c>
      <c r="E279" s="50">
        <v>0</v>
      </c>
      <c r="F279" s="46"/>
      <c r="H279">
        <f>37*4</f>
        <v>148</v>
      </c>
    </row>
    <row r="280" spans="1:8" x14ac:dyDescent="0.25">
      <c r="A280" s="5"/>
      <c r="B280" s="5"/>
      <c r="C280" s="53"/>
      <c r="D280" s="71" t="s">
        <v>275</v>
      </c>
      <c r="E280" s="50">
        <v>0</v>
      </c>
      <c r="F280" s="46"/>
      <c r="H280">
        <f>H279/2</f>
        <v>74</v>
      </c>
    </row>
    <row r="281" spans="1:8" x14ac:dyDescent="0.25">
      <c r="A281" s="5"/>
      <c r="B281" s="5"/>
      <c r="C281" s="53"/>
      <c r="D281" s="71" t="s">
        <v>276</v>
      </c>
      <c r="E281" s="50">
        <v>0</v>
      </c>
      <c r="F281" s="46"/>
    </row>
    <row r="282" spans="1:8" x14ac:dyDescent="0.25">
      <c r="A282" s="5"/>
      <c r="B282" s="5"/>
      <c r="C282" s="53"/>
      <c r="D282" s="71" t="s">
        <v>277</v>
      </c>
      <c r="E282" s="50">
        <v>0</v>
      </c>
      <c r="F282" s="46"/>
    </row>
    <row r="283" spans="1:8" x14ac:dyDescent="0.25">
      <c r="A283" s="3"/>
      <c r="B283" s="3"/>
      <c r="C283" s="34"/>
      <c r="D283" s="43" t="s">
        <v>416</v>
      </c>
      <c r="E283" s="40">
        <v>5000000</v>
      </c>
      <c r="F283" s="97"/>
    </row>
    <row r="284" spans="1:8" hidden="1" x14ac:dyDescent="0.25">
      <c r="A284" s="5">
        <v>2</v>
      </c>
      <c r="B284" s="5">
        <v>4</v>
      </c>
      <c r="C284" s="53" t="s">
        <v>160</v>
      </c>
      <c r="D284" s="12" t="s">
        <v>280</v>
      </c>
      <c r="E284" s="54">
        <f>SUM(E285:E285)</f>
        <v>0</v>
      </c>
      <c r="F284" s="5" t="s">
        <v>3</v>
      </c>
    </row>
    <row r="285" spans="1:8" hidden="1" x14ac:dyDescent="0.25">
      <c r="A285" s="5"/>
      <c r="B285" s="5"/>
      <c r="C285" s="53"/>
      <c r="D285" s="71" t="s">
        <v>281</v>
      </c>
      <c r="E285" s="50">
        <v>0</v>
      </c>
      <c r="F285" s="5"/>
    </row>
    <row r="286" spans="1:8" ht="30" hidden="1" x14ac:dyDescent="0.25">
      <c r="A286" s="3">
        <v>2</v>
      </c>
      <c r="B286" s="3">
        <v>4</v>
      </c>
      <c r="C286" s="34">
        <v>11</v>
      </c>
      <c r="D286" s="2" t="s">
        <v>282</v>
      </c>
      <c r="E286" s="35">
        <f>SUM(E287:E288)</f>
        <v>0</v>
      </c>
      <c r="F286" s="3" t="s">
        <v>3</v>
      </c>
    </row>
    <row r="287" spans="1:8" hidden="1" x14ac:dyDescent="0.25">
      <c r="A287" s="3"/>
      <c r="B287" s="3"/>
      <c r="C287" s="34"/>
      <c r="D287" s="71" t="s">
        <v>283</v>
      </c>
      <c r="E287" s="50">
        <v>0</v>
      </c>
      <c r="F287" s="42" t="s">
        <v>3</v>
      </c>
    </row>
    <row r="288" spans="1:8" hidden="1" x14ac:dyDescent="0.25">
      <c r="A288" s="3"/>
      <c r="B288" s="3"/>
      <c r="C288" s="34"/>
      <c r="D288" s="71" t="s">
        <v>283</v>
      </c>
      <c r="E288" s="50">
        <v>0</v>
      </c>
      <c r="F288" s="42" t="s">
        <v>4</v>
      </c>
    </row>
    <row r="289" spans="1:6" ht="30" x14ac:dyDescent="0.25">
      <c r="A289" s="3">
        <v>2</v>
      </c>
      <c r="B289" s="3">
        <v>4</v>
      </c>
      <c r="C289" s="106">
        <v>12</v>
      </c>
      <c r="D289" s="107" t="s">
        <v>284</v>
      </c>
      <c r="E289" s="35">
        <f>E290</f>
        <v>20000000</v>
      </c>
      <c r="F289" s="3" t="s">
        <v>3</v>
      </c>
    </row>
    <row r="290" spans="1:6" ht="18" customHeight="1" x14ac:dyDescent="0.25">
      <c r="A290" s="5"/>
      <c r="B290" s="5"/>
      <c r="C290" s="108"/>
      <c r="D290" s="43" t="s">
        <v>486</v>
      </c>
      <c r="E290" s="212">
        <v>20000000</v>
      </c>
      <c r="F290" s="92"/>
    </row>
    <row r="291" spans="1:6" hidden="1" x14ac:dyDescent="0.25">
      <c r="A291" s="3">
        <v>2</v>
      </c>
      <c r="B291" s="3">
        <v>4</v>
      </c>
      <c r="C291" s="34" t="s">
        <v>286</v>
      </c>
      <c r="D291" s="2" t="s">
        <v>287</v>
      </c>
      <c r="E291" s="109"/>
      <c r="F291" s="97"/>
    </row>
    <row r="292" spans="1:6" ht="30" x14ac:dyDescent="0.25">
      <c r="A292" s="3">
        <v>2</v>
      </c>
      <c r="B292" s="3">
        <v>4</v>
      </c>
      <c r="C292" s="34" t="s">
        <v>257</v>
      </c>
      <c r="D292" s="2" t="s">
        <v>288</v>
      </c>
      <c r="E292" s="96">
        <f>E293</f>
        <v>30000000</v>
      </c>
      <c r="F292" s="3" t="s">
        <v>3</v>
      </c>
    </row>
    <row r="293" spans="1:6" x14ac:dyDescent="0.25">
      <c r="A293" s="5"/>
      <c r="B293" s="5"/>
      <c r="C293" s="53"/>
      <c r="D293" s="43" t="s">
        <v>289</v>
      </c>
      <c r="E293" s="37">
        <v>30000000</v>
      </c>
      <c r="F293" s="42" t="s">
        <v>432</v>
      </c>
    </row>
    <row r="294" spans="1:6" s="185" customFormat="1" ht="30" hidden="1" x14ac:dyDescent="0.25">
      <c r="A294" s="3">
        <v>2</v>
      </c>
      <c r="B294" s="3">
        <v>4</v>
      </c>
      <c r="C294" s="34" t="s">
        <v>261</v>
      </c>
      <c r="D294" s="2" t="s">
        <v>290</v>
      </c>
      <c r="E294" s="35">
        <f>SUM(E295:E297)</f>
        <v>0</v>
      </c>
      <c r="F294" s="3" t="s">
        <v>3</v>
      </c>
    </row>
    <row r="295" spans="1:6" hidden="1" x14ac:dyDescent="0.25">
      <c r="A295" s="3"/>
      <c r="B295" s="3"/>
      <c r="C295" s="34"/>
      <c r="D295" s="43" t="s">
        <v>291</v>
      </c>
      <c r="E295" s="37"/>
      <c r="F295" s="36" t="s">
        <v>3</v>
      </c>
    </row>
    <row r="296" spans="1:6" hidden="1" x14ac:dyDescent="0.25">
      <c r="A296" s="5"/>
      <c r="B296" s="5"/>
      <c r="C296" s="53"/>
      <c r="D296" s="71" t="s">
        <v>278</v>
      </c>
      <c r="E296" s="50">
        <v>0</v>
      </c>
      <c r="F296" s="42"/>
    </row>
    <row r="297" spans="1:6" hidden="1" x14ac:dyDescent="0.25">
      <c r="A297" s="5"/>
      <c r="B297" s="5"/>
      <c r="C297" s="53"/>
      <c r="D297" s="71" t="s">
        <v>279</v>
      </c>
      <c r="E297" s="50">
        <v>0</v>
      </c>
      <c r="F297" s="42" t="s">
        <v>3</v>
      </c>
    </row>
    <row r="298" spans="1:6" hidden="1" x14ac:dyDescent="0.25">
      <c r="A298" s="5"/>
      <c r="B298" s="5"/>
      <c r="C298" s="53"/>
      <c r="D298" s="71"/>
      <c r="E298" s="64"/>
      <c r="F298" s="5"/>
    </row>
    <row r="299" spans="1:6" ht="30" hidden="1" x14ac:dyDescent="0.25">
      <c r="A299" s="3">
        <v>2</v>
      </c>
      <c r="B299" s="3">
        <v>4</v>
      </c>
      <c r="C299" s="34" t="s">
        <v>264</v>
      </c>
      <c r="D299" s="110" t="s">
        <v>292</v>
      </c>
      <c r="E299" s="45">
        <f>E300</f>
        <v>0</v>
      </c>
      <c r="F299" s="4" t="s">
        <v>3</v>
      </c>
    </row>
    <row r="300" spans="1:6" hidden="1" x14ac:dyDescent="0.25">
      <c r="A300" s="5"/>
      <c r="B300" s="5"/>
      <c r="C300" s="53"/>
      <c r="D300" s="111" t="s">
        <v>293</v>
      </c>
      <c r="E300" s="112"/>
      <c r="F300" s="113"/>
    </row>
    <row r="301" spans="1:6" hidden="1" x14ac:dyDescent="0.25">
      <c r="A301" s="5"/>
      <c r="B301" s="5"/>
      <c r="C301" s="53"/>
      <c r="D301" s="111"/>
      <c r="E301" s="112"/>
      <c r="F301" s="113"/>
    </row>
    <row r="302" spans="1:6" hidden="1" x14ac:dyDescent="0.25">
      <c r="A302" s="5"/>
      <c r="B302" s="5"/>
      <c r="C302" s="53"/>
      <c r="D302" s="111"/>
      <c r="E302" s="112"/>
      <c r="F302" s="113"/>
    </row>
    <row r="303" spans="1:6" hidden="1" x14ac:dyDescent="0.25">
      <c r="A303" s="10">
        <v>2</v>
      </c>
      <c r="B303" s="10">
        <v>5</v>
      </c>
      <c r="C303" s="10"/>
      <c r="D303" s="114" t="s">
        <v>294</v>
      </c>
      <c r="E303" s="206">
        <f>E304+E307</f>
        <v>0</v>
      </c>
      <c r="F303" s="10"/>
    </row>
    <row r="304" spans="1:6" s="185" customFormat="1" hidden="1" x14ac:dyDescent="0.25">
      <c r="A304" s="92">
        <v>2</v>
      </c>
      <c r="B304" s="5">
        <v>5</v>
      </c>
      <c r="C304" s="53" t="s">
        <v>89</v>
      </c>
      <c r="D304" s="5" t="s">
        <v>295</v>
      </c>
      <c r="E304" s="54">
        <f>SUM(E305:E306)</f>
        <v>0</v>
      </c>
      <c r="F304" s="5" t="s">
        <v>3</v>
      </c>
    </row>
    <row r="305" spans="1:6" hidden="1" x14ac:dyDescent="0.25">
      <c r="A305" s="92"/>
      <c r="B305" s="92"/>
      <c r="C305" s="116"/>
      <c r="D305" s="42" t="s">
        <v>296</v>
      </c>
      <c r="E305" s="50">
        <v>0</v>
      </c>
      <c r="F305" s="42" t="s">
        <v>3</v>
      </c>
    </row>
    <row r="306" spans="1:6" hidden="1" x14ac:dyDescent="0.25">
      <c r="A306" s="92"/>
      <c r="B306" s="92"/>
      <c r="C306" s="116"/>
      <c r="D306" s="42" t="s">
        <v>297</v>
      </c>
      <c r="E306" s="50"/>
      <c r="F306" s="42" t="s">
        <v>3</v>
      </c>
    </row>
    <row r="307" spans="1:6" s="185" customFormat="1" ht="30" hidden="1" x14ac:dyDescent="0.25">
      <c r="A307" s="5">
        <v>2</v>
      </c>
      <c r="B307" s="5">
        <v>5</v>
      </c>
      <c r="C307" s="53" t="s">
        <v>98</v>
      </c>
      <c r="D307" s="187" t="s">
        <v>298</v>
      </c>
      <c r="E307" s="35">
        <f>E308</f>
        <v>0</v>
      </c>
      <c r="F307" s="3" t="s">
        <v>3</v>
      </c>
    </row>
    <row r="308" spans="1:6" hidden="1" x14ac:dyDescent="0.25">
      <c r="A308" s="92"/>
      <c r="B308" s="92"/>
      <c r="C308" s="92"/>
      <c r="D308" s="71" t="s">
        <v>299</v>
      </c>
      <c r="E308" s="37"/>
      <c r="F308" s="36" t="s">
        <v>3</v>
      </c>
    </row>
    <row r="309" spans="1:6" hidden="1" x14ac:dyDescent="0.25">
      <c r="A309" s="92"/>
      <c r="B309" s="92"/>
      <c r="C309" s="92"/>
      <c r="D309" s="71"/>
      <c r="E309" s="50"/>
      <c r="F309" s="42"/>
    </row>
    <row r="310" spans="1:6" x14ac:dyDescent="0.25">
      <c r="A310" s="117">
        <v>2</v>
      </c>
      <c r="B310" s="117">
        <v>6</v>
      </c>
      <c r="C310" s="117"/>
      <c r="D310" s="13" t="s">
        <v>52</v>
      </c>
      <c r="E310" s="35">
        <f>E311+E315+E321</f>
        <v>26000000</v>
      </c>
      <c r="F310" s="69"/>
    </row>
    <row r="311" spans="1:6" hidden="1" x14ac:dyDescent="0.25">
      <c r="A311" s="5">
        <v>2</v>
      </c>
      <c r="B311" s="5">
        <v>6</v>
      </c>
      <c r="C311" s="53" t="s">
        <v>85</v>
      </c>
      <c r="D311" s="12" t="s">
        <v>300</v>
      </c>
      <c r="E311" s="54">
        <f>SUM(E312:E314)</f>
        <v>0</v>
      </c>
      <c r="F311" s="5" t="s">
        <v>3</v>
      </c>
    </row>
    <row r="312" spans="1:6" hidden="1" x14ac:dyDescent="0.25">
      <c r="A312" s="5"/>
      <c r="B312" s="5"/>
      <c r="C312" s="53"/>
      <c r="D312" s="71" t="s">
        <v>301</v>
      </c>
      <c r="E312" s="75"/>
      <c r="F312" s="46"/>
    </row>
    <row r="313" spans="1:6" hidden="1" x14ac:dyDescent="0.25">
      <c r="A313" s="5"/>
      <c r="B313" s="5"/>
      <c r="C313" s="53"/>
      <c r="D313" s="71" t="s">
        <v>302</v>
      </c>
      <c r="E313" s="75"/>
      <c r="F313" s="46"/>
    </row>
    <row r="314" spans="1:6" hidden="1" x14ac:dyDescent="0.25">
      <c r="A314" s="5"/>
      <c r="B314" s="5"/>
      <c r="C314" s="53"/>
      <c r="D314" s="71" t="s">
        <v>303</v>
      </c>
      <c r="E314" s="75"/>
      <c r="F314" s="46"/>
    </row>
    <row r="315" spans="1:6" ht="33.75" customHeight="1" x14ac:dyDescent="0.25">
      <c r="A315" s="3">
        <v>2</v>
      </c>
      <c r="B315" s="3">
        <v>6</v>
      </c>
      <c r="C315" s="34" t="s">
        <v>89</v>
      </c>
      <c r="D315" s="2" t="s">
        <v>53</v>
      </c>
      <c r="E315" s="35">
        <f>SUM(E316:E320)</f>
        <v>26000000</v>
      </c>
      <c r="F315" s="2" t="s">
        <v>304</v>
      </c>
    </row>
    <row r="316" spans="1:6" hidden="1" x14ac:dyDescent="0.25">
      <c r="A316" s="3"/>
      <c r="B316" s="3"/>
      <c r="C316" s="34"/>
      <c r="D316" s="42" t="s">
        <v>161</v>
      </c>
      <c r="E316" s="50">
        <v>0</v>
      </c>
      <c r="F316" s="2"/>
    </row>
    <row r="317" spans="1:6" x14ac:dyDescent="0.25">
      <c r="A317" s="3"/>
      <c r="B317" s="3"/>
      <c r="C317" s="34"/>
      <c r="D317" s="48" t="s">
        <v>162</v>
      </c>
      <c r="E317" s="49">
        <v>12000000</v>
      </c>
      <c r="F317" s="43" t="s">
        <v>3</v>
      </c>
    </row>
    <row r="318" spans="1:6" x14ac:dyDescent="0.25">
      <c r="A318" s="3"/>
      <c r="B318" s="3"/>
      <c r="C318" s="34"/>
      <c r="D318" s="48" t="s">
        <v>162</v>
      </c>
      <c r="E318" s="49">
        <v>12000000</v>
      </c>
      <c r="F318" s="43" t="s">
        <v>0</v>
      </c>
    </row>
    <row r="319" spans="1:6" x14ac:dyDescent="0.25">
      <c r="A319" s="3"/>
      <c r="B319" s="3"/>
      <c r="C319" s="34"/>
      <c r="D319" s="43" t="s">
        <v>305</v>
      </c>
      <c r="E319" s="37">
        <v>2000000</v>
      </c>
      <c r="F319" s="43" t="s">
        <v>0</v>
      </c>
    </row>
    <row r="320" spans="1:6" hidden="1" x14ac:dyDescent="0.25">
      <c r="A320" s="3"/>
      <c r="B320" s="3"/>
      <c r="C320" s="34"/>
      <c r="D320" s="103" t="s">
        <v>306</v>
      </c>
      <c r="E320" s="104">
        <v>0</v>
      </c>
      <c r="F320" s="119"/>
    </row>
    <row r="321" spans="1:6" ht="30" hidden="1" x14ac:dyDescent="0.25">
      <c r="A321" s="93">
        <v>2</v>
      </c>
      <c r="B321" s="93">
        <v>6</v>
      </c>
      <c r="C321" s="94" t="s">
        <v>98</v>
      </c>
      <c r="D321" s="95" t="s">
        <v>307</v>
      </c>
      <c r="E321" s="96">
        <f>SUM(E322:E323)</f>
        <v>0</v>
      </c>
      <c r="F321" s="95" t="s">
        <v>3</v>
      </c>
    </row>
    <row r="322" spans="1:6" hidden="1" x14ac:dyDescent="0.25">
      <c r="A322" s="3"/>
      <c r="B322" s="3"/>
      <c r="C322" s="34"/>
      <c r="D322" s="103" t="s">
        <v>308</v>
      </c>
      <c r="E322" s="104">
        <v>0</v>
      </c>
      <c r="F322" s="2"/>
    </row>
    <row r="323" spans="1:6" hidden="1" x14ac:dyDescent="0.25">
      <c r="A323" s="3"/>
      <c r="B323" s="3"/>
      <c r="C323" s="34"/>
      <c r="D323" s="103" t="s">
        <v>309</v>
      </c>
      <c r="E323" s="104"/>
      <c r="F323" s="119"/>
    </row>
    <row r="324" spans="1:6" hidden="1" x14ac:dyDescent="0.25">
      <c r="A324" s="10">
        <v>2</v>
      </c>
      <c r="B324" s="10">
        <v>7</v>
      </c>
      <c r="C324" s="10"/>
      <c r="D324" s="114" t="s">
        <v>310</v>
      </c>
      <c r="E324" s="115"/>
      <c r="F324" s="10"/>
    </row>
    <row r="325" spans="1:6" x14ac:dyDescent="0.25">
      <c r="A325" s="10">
        <v>2</v>
      </c>
      <c r="B325" s="10">
        <v>8</v>
      </c>
      <c r="C325" s="8"/>
      <c r="D325" s="114" t="s">
        <v>311</v>
      </c>
      <c r="E325" s="57">
        <f>E328</f>
        <v>5000000</v>
      </c>
      <c r="F325" s="8"/>
    </row>
    <row r="326" spans="1:6" hidden="1" x14ac:dyDescent="0.25">
      <c r="A326" s="3">
        <v>2</v>
      </c>
      <c r="B326" s="3">
        <v>8</v>
      </c>
      <c r="C326" s="34" t="s">
        <v>85</v>
      </c>
      <c r="D326" s="2" t="s">
        <v>312</v>
      </c>
      <c r="E326" s="35"/>
      <c r="F326" s="3"/>
    </row>
    <row r="327" spans="1:6" s="188" customFormat="1" ht="30" hidden="1" x14ac:dyDescent="0.25">
      <c r="A327" s="3">
        <v>2</v>
      </c>
      <c r="B327" s="3">
        <v>8</v>
      </c>
      <c r="C327" s="34" t="s">
        <v>89</v>
      </c>
      <c r="D327" s="2" t="s">
        <v>313</v>
      </c>
      <c r="E327" s="35"/>
      <c r="F327" s="3"/>
    </row>
    <row r="328" spans="1:6" s="185" customFormat="1" x14ac:dyDescent="0.25">
      <c r="A328" s="5">
        <v>2</v>
      </c>
      <c r="B328" s="5">
        <v>8</v>
      </c>
      <c r="C328" s="53" t="s">
        <v>98</v>
      </c>
      <c r="D328" s="17" t="s">
        <v>314</v>
      </c>
      <c r="E328" s="54">
        <f>SUM(E329:E331)</f>
        <v>5000000</v>
      </c>
      <c r="F328" s="5" t="s">
        <v>3</v>
      </c>
    </row>
    <row r="329" spans="1:6" x14ac:dyDescent="0.25">
      <c r="A329" s="5"/>
      <c r="B329" s="5"/>
      <c r="C329" s="53"/>
      <c r="D329" s="120" t="s">
        <v>315</v>
      </c>
      <c r="E329" s="49">
        <v>5000000</v>
      </c>
      <c r="F329" s="92" t="s">
        <v>3</v>
      </c>
    </row>
    <row r="330" spans="1:6" hidden="1" x14ac:dyDescent="0.25">
      <c r="A330" s="5"/>
      <c r="B330" s="5"/>
      <c r="C330" s="53"/>
      <c r="D330" s="120"/>
      <c r="E330" s="49"/>
      <c r="F330" s="92" t="s">
        <v>3</v>
      </c>
    </row>
    <row r="331" spans="1:6" hidden="1" x14ac:dyDescent="0.25">
      <c r="A331" s="5"/>
      <c r="B331" s="5"/>
      <c r="C331" s="53"/>
      <c r="D331" s="120"/>
      <c r="E331" s="49">
        <v>0</v>
      </c>
      <c r="F331" s="92" t="s">
        <v>316</v>
      </c>
    </row>
    <row r="332" spans="1:6" x14ac:dyDescent="0.25">
      <c r="A332" s="11">
        <v>3</v>
      </c>
      <c r="B332" s="11"/>
      <c r="C332" s="11"/>
      <c r="D332" s="14" t="s">
        <v>54</v>
      </c>
      <c r="E332" s="88">
        <f>E333+E352+E370+E382</f>
        <v>89543900</v>
      </c>
      <c r="F332" s="11"/>
    </row>
    <row r="333" spans="1:6" ht="30" x14ac:dyDescent="0.25">
      <c r="A333" s="119">
        <v>3</v>
      </c>
      <c r="B333" s="121">
        <v>1</v>
      </c>
      <c r="C333" s="121"/>
      <c r="D333" s="15" t="s">
        <v>55</v>
      </c>
      <c r="E333" s="122">
        <f>E334+E343+E348</f>
        <v>28043900</v>
      </c>
      <c r="F333" s="121"/>
    </row>
    <row r="334" spans="1:6" ht="15.75" customHeight="1" x14ac:dyDescent="0.25">
      <c r="A334" s="5">
        <v>3</v>
      </c>
      <c r="B334" s="5">
        <v>1</v>
      </c>
      <c r="C334" s="53" t="s">
        <v>85</v>
      </c>
      <c r="D334" s="12" t="s">
        <v>60</v>
      </c>
      <c r="E334" s="54">
        <f>E335+E338</f>
        <v>28043900</v>
      </c>
      <c r="F334" s="5" t="s">
        <v>1</v>
      </c>
    </row>
    <row r="335" spans="1:6" ht="18" hidden="1" customHeight="1" x14ac:dyDescent="0.25">
      <c r="A335" s="5"/>
      <c r="B335" s="5"/>
      <c r="C335" s="53"/>
      <c r="D335" s="72" t="s">
        <v>317</v>
      </c>
      <c r="E335" s="64">
        <f>SUM(E336:E337)</f>
        <v>0</v>
      </c>
      <c r="F335" s="63" t="s">
        <v>3</v>
      </c>
    </row>
    <row r="336" spans="1:6" hidden="1" x14ac:dyDescent="0.25">
      <c r="A336" s="5"/>
      <c r="B336" s="5"/>
      <c r="C336" s="53"/>
      <c r="D336" s="71" t="s">
        <v>318</v>
      </c>
      <c r="E336" s="51">
        <v>0</v>
      </c>
      <c r="F336" s="42" t="s">
        <v>3</v>
      </c>
    </row>
    <row r="337" spans="1:6" hidden="1" x14ac:dyDescent="0.25">
      <c r="A337" s="5"/>
      <c r="B337" s="5"/>
      <c r="C337" s="53"/>
      <c r="D337" s="71" t="s">
        <v>319</v>
      </c>
      <c r="E337" s="51">
        <v>0</v>
      </c>
      <c r="F337" s="42" t="s">
        <v>3</v>
      </c>
    </row>
    <row r="338" spans="1:6" ht="15.75" customHeight="1" x14ac:dyDescent="0.25">
      <c r="A338" s="5"/>
      <c r="B338" s="5"/>
      <c r="C338" s="53"/>
      <c r="D338" s="72" t="s">
        <v>320</v>
      </c>
      <c r="E338" s="64">
        <f>SUM(E339:E341)</f>
        <v>28043900</v>
      </c>
      <c r="F338" s="63" t="s">
        <v>1</v>
      </c>
    </row>
    <row r="339" spans="1:6" ht="15.75" customHeight="1" x14ac:dyDescent="0.25">
      <c r="A339" s="5"/>
      <c r="B339" s="5"/>
      <c r="C339" s="53"/>
      <c r="D339" s="71" t="s">
        <v>461</v>
      </c>
      <c r="E339" s="50">
        <v>16043900</v>
      </c>
      <c r="F339" s="42" t="s">
        <v>2</v>
      </c>
    </row>
    <row r="340" spans="1:6" ht="20.25" customHeight="1" x14ac:dyDescent="0.25">
      <c r="A340" s="3"/>
      <c r="B340" s="3"/>
      <c r="C340" s="34"/>
      <c r="D340" s="43" t="s">
        <v>321</v>
      </c>
      <c r="E340" s="37">
        <v>9000000</v>
      </c>
      <c r="F340" s="43" t="s">
        <v>1</v>
      </c>
    </row>
    <row r="341" spans="1:6" ht="17.25" customHeight="1" x14ac:dyDescent="0.25">
      <c r="A341" s="5"/>
      <c r="B341" s="5"/>
      <c r="C341" s="53"/>
      <c r="D341" s="71" t="s">
        <v>322</v>
      </c>
      <c r="E341" s="50">
        <v>3000000</v>
      </c>
      <c r="F341" s="48" t="s">
        <v>1</v>
      </c>
    </row>
    <row r="342" spans="1:6" hidden="1" x14ac:dyDescent="0.25">
      <c r="A342" s="5"/>
      <c r="B342" s="5"/>
      <c r="C342" s="53"/>
      <c r="D342" s="123"/>
      <c r="E342" s="75"/>
      <c r="F342" s="46"/>
    </row>
    <row r="343" spans="1:6" ht="30" hidden="1" x14ac:dyDescent="0.25">
      <c r="A343" s="5">
        <v>3</v>
      </c>
      <c r="B343" s="5">
        <v>1</v>
      </c>
      <c r="C343" s="53" t="s">
        <v>89</v>
      </c>
      <c r="D343" s="12" t="s">
        <v>323</v>
      </c>
      <c r="E343" s="75"/>
      <c r="F343" s="46"/>
    </row>
    <row r="344" spans="1:6" ht="30" hidden="1" x14ac:dyDescent="0.25">
      <c r="A344" s="5">
        <v>3</v>
      </c>
      <c r="B344" s="5">
        <v>1</v>
      </c>
      <c r="C344" s="53" t="s">
        <v>98</v>
      </c>
      <c r="D344" s="12" t="s">
        <v>324</v>
      </c>
      <c r="E344" s="75"/>
      <c r="F344" s="46"/>
    </row>
    <row r="345" spans="1:6" hidden="1" x14ac:dyDescent="0.25">
      <c r="A345" s="3">
        <v>3</v>
      </c>
      <c r="B345" s="3">
        <v>1</v>
      </c>
      <c r="C345" s="34" t="s">
        <v>109</v>
      </c>
      <c r="D345" s="2" t="s">
        <v>325</v>
      </c>
      <c r="E345" s="109"/>
      <c r="F345" s="97"/>
    </row>
    <row r="346" spans="1:6" hidden="1" x14ac:dyDescent="0.25">
      <c r="A346" s="5">
        <v>3</v>
      </c>
      <c r="B346" s="5">
        <v>1</v>
      </c>
      <c r="C346" s="53" t="s">
        <v>122</v>
      </c>
      <c r="D346" s="12" t="s">
        <v>326</v>
      </c>
      <c r="E346" s="75"/>
      <c r="F346" s="46"/>
    </row>
    <row r="347" spans="1:6" hidden="1" x14ac:dyDescent="0.25">
      <c r="A347" s="5">
        <v>3</v>
      </c>
      <c r="B347" s="5">
        <v>1</v>
      </c>
      <c r="C347" s="53" t="s">
        <v>125</v>
      </c>
      <c r="D347" s="12" t="s">
        <v>327</v>
      </c>
      <c r="E347" s="75"/>
      <c r="F347" s="46"/>
    </row>
    <row r="348" spans="1:6" ht="30" hidden="1" x14ac:dyDescent="0.25">
      <c r="A348" s="5">
        <v>3</v>
      </c>
      <c r="B348" s="5">
        <v>1</v>
      </c>
      <c r="C348" s="53" t="s">
        <v>159</v>
      </c>
      <c r="D348" s="12" t="s">
        <v>328</v>
      </c>
      <c r="E348" s="75">
        <f>SUM(E349:E351)</f>
        <v>0</v>
      </c>
      <c r="F348" s="46"/>
    </row>
    <row r="349" spans="1:6" hidden="1" x14ac:dyDescent="0.25">
      <c r="A349" s="5"/>
      <c r="B349" s="5"/>
      <c r="C349" s="53"/>
      <c r="D349" s="12"/>
      <c r="E349" s="75"/>
      <c r="F349" s="46"/>
    </row>
    <row r="350" spans="1:6" hidden="1" x14ac:dyDescent="0.25">
      <c r="A350" s="5"/>
      <c r="B350" s="5"/>
      <c r="C350" s="53"/>
      <c r="D350" s="12"/>
      <c r="E350" s="75"/>
      <c r="F350" s="46"/>
    </row>
    <row r="351" spans="1:6" hidden="1" x14ac:dyDescent="0.25">
      <c r="A351" s="5"/>
      <c r="B351" s="5"/>
      <c r="C351" s="53"/>
      <c r="D351" s="12"/>
      <c r="E351" s="75"/>
      <c r="F351" s="46"/>
    </row>
    <row r="352" spans="1:6" x14ac:dyDescent="0.25">
      <c r="A352" s="121">
        <v>3</v>
      </c>
      <c r="B352" s="121">
        <v>2</v>
      </c>
      <c r="C352" s="121"/>
      <c r="D352" s="15" t="s">
        <v>56</v>
      </c>
      <c r="E352" s="122">
        <f>E353+E355+E358</f>
        <v>22000000</v>
      </c>
      <c r="F352" s="15"/>
    </row>
    <row r="353" spans="1:6" x14ac:dyDescent="0.25">
      <c r="A353" s="3">
        <v>3</v>
      </c>
      <c r="B353" s="3">
        <v>2</v>
      </c>
      <c r="C353" s="34" t="s">
        <v>85</v>
      </c>
      <c r="D353" s="2" t="s">
        <v>57</v>
      </c>
      <c r="E353" s="35">
        <f>SUM(E354:E354)</f>
        <v>10000000</v>
      </c>
      <c r="F353" s="3" t="s">
        <v>1</v>
      </c>
    </row>
    <row r="354" spans="1:6" ht="13.5" customHeight="1" x14ac:dyDescent="0.25">
      <c r="A354" s="3"/>
      <c r="B354" s="3"/>
      <c r="C354" s="34"/>
      <c r="D354" s="43" t="s">
        <v>329</v>
      </c>
      <c r="E354" s="37">
        <v>10000000</v>
      </c>
      <c r="F354" s="36" t="s">
        <v>1</v>
      </c>
    </row>
    <row r="355" spans="1:6" ht="29.25" customHeight="1" x14ac:dyDescent="0.25">
      <c r="A355" s="3">
        <v>3</v>
      </c>
      <c r="B355" s="3">
        <v>2</v>
      </c>
      <c r="C355" s="34" t="s">
        <v>89</v>
      </c>
      <c r="D355" s="2" t="s">
        <v>58</v>
      </c>
      <c r="E355" s="35">
        <f>SUM(E356:E357)</f>
        <v>7000000</v>
      </c>
      <c r="F355" s="3" t="s">
        <v>330</v>
      </c>
    </row>
    <row r="356" spans="1:6" x14ac:dyDescent="0.25">
      <c r="A356" s="3"/>
      <c r="B356" s="3"/>
      <c r="C356" s="34"/>
      <c r="D356" s="103" t="s">
        <v>331</v>
      </c>
      <c r="E356" s="104">
        <v>2000000</v>
      </c>
      <c r="F356" s="105" t="s">
        <v>1</v>
      </c>
    </row>
    <row r="357" spans="1:6" ht="19.5" customHeight="1" x14ac:dyDescent="0.25">
      <c r="A357" s="3"/>
      <c r="B357" s="3"/>
      <c r="C357" s="34"/>
      <c r="D357" s="103" t="s">
        <v>332</v>
      </c>
      <c r="E357" s="104">
        <v>5000000</v>
      </c>
      <c r="F357" s="105" t="s">
        <v>2</v>
      </c>
    </row>
    <row r="358" spans="1:6" ht="29.25" customHeight="1" x14ac:dyDescent="0.25">
      <c r="A358" s="3">
        <v>3</v>
      </c>
      <c r="B358" s="3">
        <v>2</v>
      </c>
      <c r="C358" s="34" t="s">
        <v>98</v>
      </c>
      <c r="D358" s="2" t="s">
        <v>59</v>
      </c>
      <c r="E358" s="35">
        <f>E359+E360</f>
        <v>5000000</v>
      </c>
      <c r="F358" s="3" t="s">
        <v>2</v>
      </c>
    </row>
    <row r="359" spans="1:6" x14ac:dyDescent="0.25">
      <c r="A359" s="3"/>
      <c r="B359" s="3"/>
      <c r="C359" s="34"/>
      <c r="D359" s="43" t="s">
        <v>333</v>
      </c>
      <c r="E359" s="109">
        <v>3500000</v>
      </c>
      <c r="F359" s="36" t="s">
        <v>2</v>
      </c>
    </row>
    <row r="360" spans="1:6" ht="18.75" customHeight="1" x14ac:dyDescent="0.25">
      <c r="A360" s="3"/>
      <c r="B360" s="3"/>
      <c r="C360" s="34"/>
      <c r="D360" s="43" t="s">
        <v>333</v>
      </c>
      <c r="E360" s="109">
        <v>1500000</v>
      </c>
      <c r="F360" s="36" t="s">
        <v>429</v>
      </c>
    </row>
    <row r="361" spans="1:6" hidden="1" x14ac:dyDescent="0.25">
      <c r="A361" s="3"/>
      <c r="B361" s="3"/>
      <c r="C361" s="34"/>
      <c r="D361" s="2"/>
      <c r="E361" s="109"/>
      <c r="F361" s="97"/>
    </row>
    <row r="362" spans="1:6" ht="30" hidden="1" x14ac:dyDescent="0.25">
      <c r="A362" s="5">
        <v>3</v>
      </c>
      <c r="B362" s="5">
        <v>2</v>
      </c>
      <c r="C362" s="53" t="s">
        <v>122</v>
      </c>
      <c r="D362" s="12" t="s">
        <v>334</v>
      </c>
      <c r="E362" s="75"/>
      <c r="F362" s="46"/>
    </row>
    <row r="363" spans="1:6" ht="45" hidden="1" x14ac:dyDescent="0.25">
      <c r="A363" s="5">
        <v>3</v>
      </c>
      <c r="B363" s="5">
        <v>2</v>
      </c>
      <c r="C363" s="53" t="s">
        <v>98</v>
      </c>
      <c r="D363" s="12" t="s">
        <v>335</v>
      </c>
      <c r="E363" s="75"/>
      <c r="F363" s="46"/>
    </row>
    <row r="364" spans="1:6" hidden="1" x14ac:dyDescent="0.25">
      <c r="A364" s="5"/>
      <c r="B364" s="5"/>
      <c r="C364" s="53"/>
      <c r="D364" s="4" t="s">
        <v>336</v>
      </c>
      <c r="E364" s="124">
        <v>0</v>
      </c>
      <c r="F364" s="46" t="s">
        <v>4</v>
      </c>
    </row>
    <row r="365" spans="1:6" hidden="1" x14ac:dyDescent="0.25">
      <c r="A365" s="5"/>
      <c r="B365" s="5"/>
      <c r="C365" s="53"/>
      <c r="D365" s="4" t="s">
        <v>337</v>
      </c>
      <c r="E365" s="124">
        <v>0</v>
      </c>
      <c r="F365" s="46" t="s">
        <v>338</v>
      </c>
    </row>
    <row r="366" spans="1:6" hidden="1" x14ac:dyDescent="0.25">
      <c r="A366" s="5"/>
      <c r="B366" s="5"/>
      <c r="C366" s="53"/>
      <c r="D366" s="4" t="s">
        <v>339</v>
      </c>
      <c r="E366" s="124">
        <v>0</v>
      </c>
      <c r="F366" s="46" t="s">
        <v>4</v>
      </c>
    </row>
    <row r="367" spans="1:6" ht="30" hidden="1" x14ac:dyDescent="0.25">
      <c r="A367" s="3">
        <v>3</v>
      </c>
      <c r="B367" s="3">
        <v>2</v>
      </c>
      <c r="C367" s="34" t="s">
        <v>122</v>
      </c>
      <c r="D367" s="2" t="s">
        <v>340</v>
      </c>
      <c r="E367" s="109">
        <v>0</v>
      </c>
      <c r="F367" s="97" t="s">
        <v>4</v>
      </c>
    </row>
    <row r="368" spans="1:6" hidden="1" x14ac:dyDescent="0.25">
      <c r="A368" s="5"/>
      <c r="B368" s="5"/>
      <c r="C368" s="53"/>
      <c r="D368" s="17" t="s">
        <v>341</v>
      </c>
      <c r="E368" s="124">
        <v>0</v>
      </c>
      <c r="F368" s="46" t="s">
        <v>4</v>
      </c>
    </row>
    <row r="369" spans="1:6" hidden="1" x14ac:dyDescent="0.25">
      <c r="A369" s="5"/>
      <c r="B369" s="5"/>
      <c r="C369" s="53"/>
      <c r="D369" s="2" t="s">
        <v>342</v>
      </c>
      <c r="E369" s="109">
        <v>0</v>
      </c>
      <c r="F369" s="97" t="s">
        <v>4</v>
      </c>
    </row>
    <row r="370" spans="1:6" x14ac:dyDescent="0.25">
      <c r="A370" s="125">
        <v>3</v>
      </c>
      <c r="B370" s="125">
        <v>3</v>
      </c>
      <c r="C370" s="125"/>
      <c r="D370" s="16" t="s">
        <v>61</v>
      </c>
      <c r="E370" s="126">
        <f>E371+E375+E376+E377+E378+E380</f>
        <v>12500000</v>
      </c>
      <c r="F370" s="125"/>
    </row>
    <row r="371" spans="1:6" ht="30" customHeight="1" x14ac:dyDescent="0.25">
      <c r="A371" s="3">
        <v>3</v>
      </c>
      <c r="B371" s="3">
        <v>3</v>
      </c>
      <c r="C371" s="34" t="s">
        <v>85</v>
      </c>
      <c r="D371" s="2" t="s">
        <v>62</v>
      </c>
      <c r="E371" s="35">
        <f>SUM(E372:E374)</f>
        <v>12500000</v>
      </c>
      <c r="F371" s="3" t="s">
        <v>2</v>
      </c>
    </row>
    <row r="372" spans="1:6" ht="18.75" customHeight="1" x14ac:dyDescent="0.25">
      <c r="A372" s="3"/>
      <c r="B372" s="3"/>
      <c r="C372" s="34"/>
      <c r="D372" s="43" t="s">
        <v>343</v>
      </c>
      <c r="E372" s="37">
        <v>2500000</v>
      </c>
      <c r="F372" s="36" t="s">
        <v>429</v>
      </c>
    </row>
    <row r="373" spans="1:6" ht="14.25" customHeight="1" x14ac:dyDescent="0.25">
      <c r="A373" s="3"/>
      <c r="B373" s="3"/>
      <c r="C373" s="34"/>
      <c r="D373" s="43" t="s">
        <v>344</v>
      </c>
      <c r="E373" s="37">
        <v>5000000</v>
      </c>
      <c r="F373" s="36" t="s">
        <v>2</v>
      </c>
    </row>
    <row r="374" spans="1:6" ht="18" customHeight="1" x14ac:dyDescent="0.25">
      <c r="A374" s="3"/>
      <c r="B374" s="3"/>
      <c r="C374" s="34"/>
      <c r="D374" s="43" t="s">
        <v>414</v>
      </c>
      <c r="E374" s="37">
        <v>5000000</v>
      </c>
      <c r="F374" s="36" t="s">
        <v>2</v>
      </c>
    </row>
    <row r="375" spans="1:6" hidden="1" x14ac:dyDescent="0.25">
      <c r="A375" s="5">
        <v>3</v>
      </c>
      <c r="B375" s="5">
        <v>3</v>
      </c>
      <c r="C375" s="53" t="s">
        <v>89</v>
      </c>
      <c r="D375" s="12" t="s">
        <v>345</v>
      </c>
      <c r="E375" s="75"/>
      <c r="F375" s="46"/>
    </row>
    <row r="376" spans="1:6" ht="30" hidden="1" x14ac:dyDescent="0.25">
      <c r="A376" s="5">
        <v>3</v>
      </c>
      <c r="B376" s="5">
        <v>3</v>
      </c>
      <c r="C376" s="53" t="s">
        <v>98</v>
      </c>
      <c r="D376" s="12" t="s">
        <v>346</v>
      </c>
      <c r="E376" s="75"/>
      <c r="F376" s="46"/>
    </row>
    <row r="377" spans="1:6" ht="30" hidden="1" x14ac:dyDescent="0.25">
      <c r="A377" s="5">
        <v>3</v>
      </c>
      <c r="B377" s="5">
        <v>3</v>
      </c>
      <c r="C377" s="53" t="s">
        <v>109</v>
      </c>
      <c r="D377" s="12" t="s">
        <v>347</v>
      </c>
      <c r="E377" s="75"/>
      <c r="F377" s="46"/>
    </row>
    <row r="378" spans="1:6" ht="30" hidden="1" x14ac:dyDescent="0.25">
      <c r="A378" s="3">
        <v>3</v>
      </c>
      <c r="B378" s="3">
        <v>3</v>
      </c>
      <c r="C378" s="34" t="s">
        <v>122</v>
      </c>
      <c r="D378" s="2" t="s">
        <v>348</v>
      </c>
      <c r="E378" s="35">
        <f>E379</f>
        <v>0</v>
      </c>
      <c r="F378" s="3" t="s">
        <v>1</v>
      </c>
    </row>
    <row r="379" spans="1:6" hidden="1" x14ac:dyDescent="0.25">
      <c r="A379" s="5"/>
      <c r="B379" s="5"/>
      <c r="C379" s="53"/>
      <c r="D379" s="71" t="s">
        <v>349</v>
      </c>
      <c r="E379" s="50">
        <v>0</v>
      </c>
      <c r="F379" s="42" t="s">
        <v>1</v>
      </c>
    </row>
    <row r="380" spans="1:6" hidden="1" x14ac:dyDescent="0.25">
      <c r="A380" s="3">
        <v>3</v>
      </c>
      <c r="B380" s="3">
        <v>3</v>
      </c>
      <c r="C380" s="34" t="s">
        <v>125</v>
      </c>
      <c r="D380" s="2" t="s">
        <v>350</v>
      </c>
      <c r="E380" s="35">
        <f>SUM(E381:E381)</f>
        <v>0</v>
      </c>
      <c r="F380" s="3" t="s">
        <v>1</v>
      </c>
    </row>
    <row r="381" spans="1:6" hidden="1" x14ac:dyDescent="0.25">
      <c r="A381" s="3"/>
      <c r="B381" s="3"/>
      <c r="C381" s="34"/>
      <c r="D381" s="43" t="s">
        <v>351</v>
      </c>
      <c r="E381" s="37">
        <v>0</v>
      </c>
      <c r="F381" s="36" t="s">
        <v>1</v>
      </c>
    </row>
    <row r="382" spans="1:6" x14ac:dyDescent="0.25">
      <c r="A382" s="125">
        <v>3</v>
      </c>
      <c r="B382" s="125">
        <v>4</v>
      </c>
      <c r="C382" s="125"/>
      <c r="D382" s="16" t="s">
        <v>63</v>
      </c>
      <c r="E382" s="126">
        <f>E383+E384+E387</f>
        <v>27000000</v>
      </c>
      <c r="F382" s="125"/>
    </row>
    <row r="383" spans="1:6" ht="16.5" hidden="1" customHeight="1" x14ac:dyDescent="0.25">
      <c r="A383" s="5">
        <v>3</v>
      </c>
      <c r="B383" s="5">
        <v>4</v>
      </c>
      <c r="C383" s="53" t="s">
        <v>85</v>
      </c>
      <c r="D383" s="12" t="s">
        <v>352</v>
      </c>
      <c r="E383" s="54"/>
      <c r="F383" s="46"/>
    </row>
    <row r="384" spans="1:6" s="188" customFormat="1" x14ac:dyDescent="0.25">
      <c r="A384" s="3">
        <v>3</v>
      </c>
      <c r="B384" s="3">
        <v>4</v>
      </c>
      <c r="C384" s="132" t="s">
        <v>89</v>
      </c>
      <c r="D384" s="2" t="s">
        <v>64</v>
      </c>
      <c r="E384" s="35">
        <f>SUM(E385:E386)</f>
        <v>10000000</v>
      </c>
      <c r="F384" s="3" t="s">
        <v>2</v>
      </c>
    </row>
    <row r="385" spans="1:8" ht="14.25" hidden="1" customHeight="1" x14ac:dyDescent="0.25">
      <c r="A385" s="5"/>
      <c r="B385" s="5"/>
      <c r="C385" s="47"/>
      <c r="D385" s="71" t="s">
        <v>353</v>
      </c>
      <c r="E385" s="50">
        <v>0</v>
      </c>
      <c r="F385" s="42" t="s">
        <v>0</v>
      </c>
    </row>
    <row r="386" spans="1:8" ht="11.25" customHeight="1" x14ac:dyDescent="0.25">
      <c r="A386" s="5"/>
      <c r="B386" s="5"/>
      <c r="C386" s="47"/>
      <c r="D386" s="71" t="s">
        <v>353</v>
      </c>
      <c r="E386" s="50">
        <v>10000000</v>
      </c>
      <c r="F386" s="42" t="s">
        <v>2</v>
      </c>
    </row>
    <row r="387" spans="1:8" x14ac:dyDescent="0.25">
      <c r="A387" s="5">
        <v>3</v>
      </c>
      <c r="B387" s="5">
        <v>4</v>
      </c>
      <c r="C387" s="53" t="s">
        <v>98</v>
      </c>
      <c r="D387" s="127" t="s">
        <v>65</v>
      </c>
      <c r="E387" s="54">
        <f>SUM(E388:E389)</f>
        <v>17000000</v>
      </c>
      <c r="F387" s="5"/>
    </row>
    <row r="388" spans="1:8" x14ac:dyDescent="0.25">
      <c r="A388" s="5"/>
      <c r="B388" s="5"/>
      <c r="C388" s="47"/>
      <c r="D388" s="71" t="s">
        <v>354</v>
      </c>
      <c r="E388" s="50">
        <v>17000000</v>
      </c>
      <c r="F388" s="42" t="s">
        <v>1</v>
      </c>
    </row>
    <row r="389" spans="1:8" hidden="1" x14ac:dyDescent="0.25">
      <c r="A389" s="5"/>
      <c r="B389" s="5"/>
      <c r="C389" s="47"/>
      <c r="D389" s="71"/>
      <c r="E389" s="50">
        <v>0</v>
      </c>
      <c r="F389" s="42" t="s">
        <v>6</v>
      </c>
    </row>
    <row r="390" spans="1:8" x14ac:dyDescent="0.25">
      <c r="A390" s="128">
        <v>4</v>
      </c>
      <c r="B390" s="129"/>
      <c r="C390" s="129"/>
      <c r="D390" s="14" t="s">
        <v>66</v>
      </c>
      <c r="E390" s="130">
        <f>E391+E396+E409+E414+E422+E429+E433</f>
        <v>82300000</v>
      </c>
      <c r="F390" s="129"/>
    </row>
    <row r="391" spans="1:8" hidden="1" x14ac:dyDescent="0.25">
      <c r="A391" s="125">
        <v>4</v>
      </c>
      <c r="B391" s="125">
        <v>1</v>
      </c>
      <c r="C391" s="125"/>
      <c r="D391" s="16" t="s">
        <v>355</v>
      </c>
      <c r="E391" s="126">
        <f>E392+E394</f>
        <v>0</v>
      </c>
      <c r="F391" s="125" t="s">
        <v>3</v>
      </c>
    </row>
    <row r="392" spans="1:8" hidden="1" x14ac:dyDescent="0.25">
      <c r="A392" s="5">
        <v>4</v>
      </c>
      <c r="B392" s="5">
        <v>1</v>
      </c>
      <c r="C392" s="53" t="s">
        <v>122</v>
      </c>
      <c r="D392" s="12" t="s">
        <v>356</v>
      </c>
      <c r="E392" s="75">
        <v>0</v>
      </c>
      <c r="F392" s="46"/>
    </row>
    <row r="393" spans="1:8" hidden="1" x14ac:dyDescent="0.25">
      <c r="A393" s="5"/>
      <c r="B393" s="5"/>
      <c r="C393" s="53"/>
      <c r="D393" s="12"/>
      <c r="E393" s="75"/>
      <c r="F393" s="46"/>
    </row>
    <row r="394" spans="1:8" ht="30" hidden="1" x14ac:dyDescent="0.25">
      <c r="A394" s="3">
        <v>4</v>
      </c>
      <c r="B394" s="3">
        <v>1</v>
      </c>
      <c r="C394" s="34" t="s">
        <v>125</v>
      </c>
      <c r="D394" s="2" t="s">
        <v>357</v>
      </c>
      <c r="E394" s="109">
        <f>SUM(E395:E395)</f>
        <v>0</v>
      </c>
      <c r="F394" s="97"/>
    </row>
    <row r="395" spans="1:8" hidden="1" x14ac:dyDescent="0.25">
      <c r="A395" s="5"/>
      <c r="B395" s="5"/>
      <c r="C395" s="53"/>
      <c r="D395" s="12"/>
      <c r="E395" s="75"/>
      <c r="F395" s="46"/>
    </row>
    <row r="396" spans="1:8" x14ac:dyDescent="0.25">
      <c r="A396" s="125">
        <v>4</v>
      </c>
      <c r="B396" s="125">
        <v>2</v>
      </c>
      <c r="C396" s="131"/>
      <c r="D396" s="16" t="s">
        <v>67</v>
      </c>
      <c r="E396" s="126">
        <f>E397+E399+E403+E405</f>
        <v>72300000</v>
      </c>
      <c r="F396" s="125" t="s">
        <v>3</v>
      </c>
    </row>
    <row r="397" spans="1:8" ht="30" x14ac:dyDescent="0.25">
      <c r="A397" s="3">
        <v>4</v>
      </c>
      <c r="B397" s="97">
        <v>2</v>
      </c>
      <c r="C397" s="132" t="s">
        <v>85</v>
      </c>
      <c r="D397" s="107" t="s">
        <v>358</v>
      </c>
      <c r="E397" s="35">
        <v>22300000</v>
      </c>
      <c r="F397" s="76" t="s">
        <v>3</v>
      </c>
    </row>
    <row r="398" spans="1:8" hidden="1" x14ac:dyDescent="0.25">
      <c r="A398" s="5"/>
      <c r="B398" s="46"/>
      <c r="C398" s="47"/>
      <c r="D398" s="71" t="s">
        <v>359</v>
      </c>
      <c r="E398" s="37">
        <v>25000000</v>
      </c>
      <c r="F398" s="76" t="s">
        <v>3</v>
      </c>
    </row>
    <row r="399" spans="1:8" ht="30" x14ac:dyDescent="0.25">
      <c r="A399" s="3">
        <v>4</v>
      </c>
      <c r="B399" s="3">
        <v>2</v>
      </c>
      <c r="C399" s="34" t="s">
        <v>89</v>
      </c>
      <c r="D399" s="2" t="s">
        <v>68</v>
      </c>
      <c r="E399" s="35">
        <f>E400</f>
        <v>50000000</v>
      </c>
      <c r="F399" s="76" t="s">
        <v>3</v>
      </c>
    </row>
    <row r="400" spans="1:8" x14ac:dyDescent="0.25">
      <c r="A400" s="3"/>
      <c r="B400" s="97"/>
      <c r="C400" s="132"/>
      <c r="D400" s="43" t="s">
        <v>465</v>
      </c>
      <c r="E400" s="50">
        <v>50000000</v>
      </c>
      <c r="F400" s="42"/>
      <c r="H400" s="173">
        <f>E400/5000000</f>
        <v>10</v>
      </c>
    </row>
    <row r="401" spans="1:6" hidden="1" x14ac:dyDescent="0.25">
      <c r="A401" s="133"/>
      <c r="B401" s="134"/>
      <c r="C401" s="135"/>
      <c r="D401" s="136" t="s">
        <v>360</v>
      </c>
      <c r="E401" s="137">
        <v>0</v>
      </c>
      <c r="F401" s="138"/>
    </row>
    <row r="402" spans="1:6" hidden="1" x14ac:dyDescent="0.25">
      <c r="A402" s="5"/>
      <c r="B402" s="46"/>
      <c r="C402" s="47"/>
      <c r="D402" s="71" t="s">
        <v>361</v>
      </c>
      <c r="E402" s="50">
        <v>0</v>
      </c>
      <c r="F402" s="42"/>
    </row>
    <row r="403" spans="1:6" hidden="1" x14ac:dyDescent="0.25">
      <c r="A403" s="3">
        <v>4</v>
      </c>
      <c r="B403" s="97">
        <v>2</v>
      </c>
      <c r="C403" s="132" t="s">
        <v>98</v>
      </c>
      <c r="D403" s="107" t="s">
        <v>362</v>
      </c>
      <c r="E403" s="35">
        <f>E404</f>
        <v>0</v>
      </c>
      <c r="F403" s="3" t="s">
        <v>3</v>
      </c>
    </row>
    <row r="404" spans="1:6" hidden="1" x14ac:dyDescent="0.25">
      <c r="A404" s="5"/>
      <c r="B404" s="46"/>
      <c r="C404" s="47"/>
      <c r="D404" s="71" t="s">
        <v>363</v>
      </c>
      <c r="E404" s="50">
        <v>0</v>
      </c>
      <c r="F404" s="42" t="s">
        <v>3</v>
      </c>
    </row>
    <row r="405" spans="1:6" ht="30" hidden="1" x14ac:dyDescent="0.25">
      <c r="A405" s="3">
        <v>4</v>
      </c>
      <c r="B405" s="97">
        <v>2</v>
      </c>
      <c r="C405" s="132" t="s">
        <v>122</v>
      </c>
      <c r="D405" s="107" t="s">
        <v>364</v>
      </c>
      <c r="E405" s="35">
        <f>SUM(E406:E408)</f>
        <v>0</v>
      </c>
      <c r="F405" s="76" t="s">
        <v>3</v>
      </c>
    </row>
    <row r="406" spans="1:6" hidden="1" x14ac:dyDescent="0.25">
      <c r="A406" s="5"/>
      <c r="B406" s="46"/>
      <c r="C406" s="47"/>
      <c r="D406" s="71" t="s">
        <v>365</v>
      </c>
      <c r="E406" s="50">
        <v>0</v>
      </c>
      <c r="F406" s="42"/>
    </row>
    <row r="407" spans="1:6" hidden="1" x14ac:dyDescent="0.25">
      <c r="A407" s="5"/>
      <c r="B407" s="46"/>
      <c r="C407" s="47"/>
      <c r="D407" s="71"/>
      <c r="E407" s="50"/>
      <c r="F407" s="42"/>
    </row>
    <row r="408" spans="1:6" hidden="1" x14ac:dyDescent="0.25">
      <c r="A408" s="5"/>
      <c r="B408" s="46"/>
      <c r="C408" s="47"/>
      <c r="D408" s="71"/>
      <c r="E408" s="50"/>
      <c r="F408" s="42"/>
    </row>
    <row r="409" spans="1:6" x14ac:dyDescent="0.25">
      <c r="A409" s="125">
        <v>4</v>
      </c>
      <c r="B409" s="125">
        <v>3</v>
      </c>
      <c r="C409" s="125"/>
      <c r="D409" s="16" t="s">
        <v>69</v>
      </c>
      <c r="E409" s="126">
        <f>SUM(E410:E413)</f>
        <v>5000000</v>
      </c>
      <c r="F409" s="125" t="s">
        <v>0</v>
      </c>
    </row>
    <row r="410" spans="1:6" x14ac:dyDescent="0.25">
      <c r="A410" s="5">
        <v>4</v>
      </c>
      <c r="B410" s="5">
        <v>3</v>
      </c>
      <c r="C410" s="47" t="s">
        <v>85</v>
      </c>
      <c r="D410" s="17" t="s">
        <v>70</v>
      </c>
      <c r="E410" s="91">
        <v>2000000</v>
      </c>
      <c r="F410" s="46" t="s">
        <v>0</v>
      </c>
    </row>
    <row r="411" spans="1:6" x14ac:dyDescent="0.25">
      <c r="A411" s="5">
        <v>4</v>
      </c>
      <c r="B411" s="5">
        <v>3</v>
      </c>
      <c r="C411" s="47" t="s">
        <v>89</v>
      </c>
      <c r="D411" s="17" t="s">
        <v>71</v>
      </c>
      <c r="E411" s="91">
        <v>1000000</v>
      </c>
      <c r="F411" s="46" t="s">
        <v>0</v>
      </c>
    </row>
    <row r="412" spans="1:6" x14ac:dyDescent="0.25">
      <c r="A412" s="5"/>
      <c r="B412" s="5"/>
      <c r="C412" s="47"/>
      <c r="D412" s="17" t="s">
        <v>71</v>
      </c>
      <c r="E412" s="91">
        <v>1000000</v>
      </c>
      <c r="F412" s="46" t="s">
        <v>1</v>
      </c>
    </row>
    <row r="413" spans="1:6" x14ac:dyDescent="0.25">
      <c r="A413" s="5">
        <v>4</v>
      </c>
      <c r="B413" s="5">
        <v>3</v>
      </c>
      <c r="C413" s="47" t="s">
        <v>98</v>
      </c>
      <c r="D413" s="17" t="s">
        <v>72</v>
      </c>
      <c r="E413" s="91">
        <v>1000000</v>
      </c>
      <c r="F413" s="46" t="s">
        <v>1</v>
      </c>
    </row>
    <row r="414" spans="1:6" ht="30" x14ac:dyDescent="0.25">
      <c r="A414" s="121">
        <v>4</v>
      </c>
      <c r="B414" s="121">
        <v>4</v>
      </c>
      <c r="C414" s="139"/>
      <c r="D414" s="140" t="s">
        <v>73</v>
      </c>
      <c r="E414" s="122">
        <f>E415+E418+E420</f>
        <v>5000000</v>
      </c>
      <c r="F414" s="121" t="s">
        <v>3</v>
      </c>
    </row>
    <row r="415" spans="1:6" x14ac:dyDescent="0.25">
      <c r="A415" s="5">
        <v>4</v>
      </c>
      <c r="B415" s="5">
        <v>4</v>
      </c>
      <c r="C415" s="47" t="s">
        <v>85</v>
      </c>
      <c r="D415" s="12" t="s">
        <v>74</v>
      </c>
      <c r="E415" s="54">
        <f>SUM(E416:E417)</f>
        <v>5000000</v>
      </c>
      <c r="F415" s="46" t="s">
        <v>3</v>
      </c>
    </row>
    <row r="416" spans="1:6" x14ac:dyDescent="0.25">
      <c r="A416" s="5"/>
      <c r="B416" s="5"/>
      <c r="C416" s="47"/>
      <c r="D416" s="71" t="s">
        <v>366</v>
      </c>
      <c r="E416" s="50">
        <v>5000000</v>
      </c>
      <c r="F416" s="42" t="s">
        <v>3</v>
      </c>
    </row>
    <row r="417" spans="1:6" hidden="1" x14ac:dyDescent="0.25">
      <c r="A417" s="5"/>
      <c r="B417" s="5"/>
      <c r="C417" s="47"/>
      <c r="D417" s="71"/>
      <c r="E417" s="50"/>
      <c r="F417" s="42"/>
    </row>
    <row r="418" spans="1:6" hidden="1" x14ac:dyDescent="0.25">
      <c r="A418" s="5">
        <v>4</v>
      </c>
      <c r="B418" s="5">
        <v>4</v>
      </c>
      <c r="C418" s="47" t="s">
        <v>89</v>
      </c>
      <c r="D418" s="12" t="s">
        <v>367</v>
      </c>
      <c r="E418" s="54">
        <f>E419</f>
        <v>0</v>
      </c>
      <c r="F418" s="46" t="s">
        <v>3</v>
      </c>
    </row>
    <row r="419" spans="1:6" hidden="1" x14ac:dyDescent="0.25">
      <c r="A419" s="5"/>
      <c r="B419" s="5"/>
      <c r="C419" s="47"/>
      <c r="D419" s="71"/>
      <c r="E419" s="50"/>
      <c r="F419" s="42"/>
    </row>
    <row r="420" spans="1:6" hidden="1" x14ac:dyDescent="0.25">
      <c r="A420" s="5">
        <v>4</v>
      </c>
      <c r="B420" s="5">
        <v>4</v>
      </c>
      <c r="C420" s="47" t="s">
        <v>98</v>
      </c>
      <c r="D420" s="12" t="s">
        <v>368</v>
      </c>
      <c r="E420" s="54">
        <f>SUM(E421)</f>
        <v>0</v>
      </c>
      <c r="F420" s="46" t="s">
        <v>3</v>
      </c>
    </row>
    <row r="421" spans="1:6" hidden="1" x14ac:dyDescent="0.25">
      <c r="A421" s="5"/>
      <c r="B421" s="5"/>
      <c r="C421" s="47"/>
      <c r="D421" s="12"/>
      <c r="E421" s="54"/>
      <c r="F421" s="46"/>
    </row>
    <row r="422" spans="1:6" hidden="1" x14ac:dyDescent="0.25">
      <c r="A422" s="125">
        <v>4</v>
      </c>
      <c r="B422" s="125">
        <v>5</v>
      </c>
      <c r="C422" s="125"/>
      <c r="D422" s="16" t="s">
        <v>369</v>
      </c>
      <c r="E422" s="126">
        <f>E423+E425+E427</f>
        <v>0</v>
      </c>
      <c r="F422" s="125" t="s">
        <v>3</v>
      </c>
    </row>
    <row r="423" spans="1:6" hidden="1" x14ac:dyDescent="0.25">
      <c r="A423" s="3">
        <v>4</v>
      </c>
      <c r="B423" s="3">
        <v>5</v>
      </c>
      <c r="C423" s="132" t="s">
        <v>85</v>
      </c>
      <c r="D423" s="2" t="s">
        <v>370</v>
      </c>
      <c r="E423" s="35">
        <f>E424</f>
        <v>0</v>
      </c>
      <c r="F423" s="97"/>
    </row>
    <row r="424" spans="1:6" hidden="1" x14ac:dyDescent="0.25">
      <c r="A424" s="5"/>
      <c r="B424" s="5"/>
      <c r="C424" s="47"/>
      <c r="D424" s="12"/>
      <c r="E424" s="54"/>
      <c r="F424" s="46"/>
    </row>
    <row r="425" spans="1:6" hidden="1" x14ac:dyDescent="0.25">
      <c r="A425" s="3">
        <v>4</v>
      </c>
      <c r="B425" s="3">
        <v>5</v>
      </c>
      <c r="C425" s="132" t="s">
        <v>89</v>
      </c>
      <c r="D425" s="2" t="s">
        <v>371</v>
      </c>
      <c r="E425" s="35">
        <f>E426</f>
        <v>0</v>
      </c>
      <c r="F425" s="97"/>
    </row>
    <row r="426" spans="1:6" hidden="1" x14ac:dyDescent="0.25">
      <c r="A426" s="3"/>
      <c r="B426" s="3"/>
      <c r="C426" s="132"/>
      <c r="D426" s="2"/>
      <c r="E426" s="35"/>
      <c r="F426" s="97"/>
    </row>
    <row r="427" spans="1:6" ht="30" hidden="1" x14ac:dyDescent="0.25">
      <c r="A427" s="3">
        <v>4</v>
      </c>
      <c r="B427" s="3">
        <v>5</v>
      </c>
      <c r="C427" s="132" t="s">
        <v>98</v>
      </c>
      <c r="D427" s="2" t="s">
        <v>372</v>
      </c>
      <c r="E427" s="35">
        <f>E428</f>
        <v>0</v>
      </c>
      <c r="F427" s="97"/>
    </row>
    <row r="428" spans="1:6" hidden="1" x14ac:dyDescent="0.25">
      <c r="A428" s="3"/>
      <c r="B428" s="3"/>
      <c r="C428" s="132"/>
      <c r="D428" s="2"/>
      <c r="E428" s="35"/>
      <c r="F428" s="97"/>
    </row>
    <row r="429" spans="1:6" hidden="1" x14ac:dyDescent="0.25">
      <c r="A429" s="125">
        <v>4</v>
      </c>
      <c r="B429" s="125">
        <v>6</v>
      </c>
      <c r="C429" s="125"/>
      <c r="D429" s="16" t="s">
        <v>373</v>
      </c>
      <c r="E429" s="126">
        <f>E430</f>
        <v>0</v>
      </c>
      <c r="F429" s="125" t="s">
        <v>3</v>
      </c>
    </row>
    <row r="430" spans="1:6" hidden="1" x14ac:dyDescent="0.25">
      <c r="A430" s="3">
        <v>4</v>
      </c>
      <c r="B430" s="3">
        <v>6</v>
      </c>
      <c r="C430" s="132" t="s">
        <v>89</v>
      </c>
      <c r="D430" s="2" t="s">
        <v>374</v>
      </c>
      <c r="E430" s="109">
        <f>SUM(E431:E432)</f>
        <v>0</v>
      </c>
      <c r="F430" s="97"/>
    </row>
    <row r="431" spans="1:6" hidden="1" x14ac:dyDescent="0.25">
      <c r="A431" s="5"/>
      <c r="B431" s="5"/>
      <c r="C431" s="46"/>
      <c r="D431" s="12"/>
      <c r="E431" s="75"/>
      <c r="F431" s="46"/>
    </row>
    <row r="432" spans="1:6" hidden="1" x14ac:dyDescent="0.25">
      <c r="A432" s="5"/>
      <c r="B432" s="5"/>
      <c r="C432" s="47"/>
      <c r="D432" s="71"/>
      <c r="E432" s="50"/>
      <c r="F432" s="42"/>
    </row>
    <row r="433" spans="1:9" hidden="1" x14ac:dyDescent="0.25">
      <c r="A433" s="125">
        <v>4</v>
      </c>
      <c r="B433" s="125">
        <v>7</v>
      </c>
      <c r="C433" s="125"/>
      <c r="D433" s="16" t="s">
        <v>375</v>
      </c>
      <c r="E433" s="126">
        <f>E434+E437</f>
        <v>0</v>
      </c>
      <c r="F433" s="125"/>
    </row>
    <row r="434" spans="1:9" ht="30" hidden="1" x14ac:dyDescent="0.25">
      <c r="A434" s="3">
        <v>4</v>
      </c>
      <c r="B434" s="3">
        <v>7</v>
      </c>
      <c r="C434" s="34" t="s">
        <v>89</v>
      </c>
      <c r="D434" s="2" t="s">
        <v>376</v>
      </c>
      <c r="E434" s="35">
        <f>SUM(E435:E436)</f>
        <v>0</v>
      </c>
      <c r="F434" s="3" t="s">
        <v>3</v>
      </c>
    </row>
    <row r="435" spans="1:9" hidden="1" x14ac:dyDescent="0.25">
      <c r="A435" s="46"/>
      <c r="B435" s="46"/>
      <c r="C435" s="46"/>
      <c r="D435" s="71" t="s">
        <v>377</v>
      </c>
      <c r="E435" s="50">
        <v>0</v>
      </c>
      <c r="F435" s="42" t="s">
        <v>3</v>
      </c>
    </row>
    <row r="436" spans="1:9" hidden="1" x14ac:dyDescent="0.25">
      <c r="A436" s="46"/>
      <c r="B436" s="46"/>
      <c r="C436" s="46"/>
      <c r="D436" s="71"/>
      <c r="E436" s="50"/>
      <c r="F436" s="42"/>
    </row>
    <row r="437" spans="1:9" ht="30" hidden="1" x14ac:dyDescent="0.25">
      <c r="A437" s="3">
        <v>4</v>
      </c>
      <c r="B437" s="3">
        <v>7</v>
      </c>
      <c r="C437" s="34" t="s">
        <v>109</v>
      </c>
      <c r="D437" s="2" t="s">
        <v>378</v>
      </c>
      <c r="E437" s="35">
        <f>SUM(E438:E439)</f>
        <v>0</v>
      </c>
      <c r="F437" s="3" t="s">
        <v>3</v>
      </c>
    </row>
    <row r="438" spans="1:9" hidden="1" x14ac:dyDescent="0.25">
      <c r="A438" s="46"/>
      <c r="B438" s="46"/>
      <c r="C438" s="46"/>
      <c r="D438" s="71" t="s">
        <v>379</v>
      </c>
      <c r="E438" s="50">
        <v>0</v>
      </c>
      <c r="F438" s="42"/>
    </row>
    <row r="439" spans="1:9" hidden="1" x14ac:dyDescent="0.25">
      <c r="A439" s="46"/>
      <c r="B439" s="46"/>
      <c r="C439" s="46"/>
      <c r="D439" s="71"/>
      <c r="E439" s="50"/>
      <c r="F439" s="42"/>
    </row>
    <row r="440" spans="1:9" ht="27" x14ac:dyDescent="0.25">
      <c r="A440" s="141">
        <v>5</v>
      </c>
      <c r="B440" s="141"/>
      <c r="C440" s="141"/>
      <c r="D440" s="18" t="s">
        <v>75</v>
      </c>
      <c r="E440" s="142">
        <f>E441+E443+E445</f>
        <v>81600000</v>
      </c>
      <c r="F440" s="141"/>
    </row>
    <row r="441" spans="1:9" x14ac:dyDescent="0.25">
      <c r="A441" s="19">
        <v>5</v>
      </c>
      <c r="B441" s="19">
        <v>1</v>
      </c>
      <c r="C441" s="19"/>
      <c r="D441" s="19" t="s">
        <v>76</v>
      </c>
      <c r="E441" s="143">
        <f>E442</f>
        <v>6000000</v>
      </c>
      <c r="F441" s="19"/>
      <c r="H441" t="s">
        <v>466</v>
      </c>
      <c r="I441" s="164">
        <f>36*5000000</f>
        <v>180000000</v>
      </c>
    </row>
    <row r="442" spans="1:9" x14ac:dyDescent="0.25">
      <c r="A442" s="46">
        <v>5</v>
      </c>
      <c r="B442" s="46">
        <v>1</v>
      </c>
      <c r="C442" s="47" t="s">
        <v>380</v>
      </c>
      <c r="D442" s="46" t="s">
        <v>381</v>
      </c>
      <c r="E442" s="75">
        <v>6000000</v>
      </c>
      <c r="F442" s="46" t="s">
        <v>3</v>
      </c>
      <c r="H442" t="s">
        <v>467</v>
      </c>
      <c r="I442" s="164">
        <f>84*10000000</f>
        <v>840000000</v>
      </c>
    </row>
    <row r="443" spans="1:9" x14ac:dyDescent="0.25">
      <c r="A443" s="19">
        <v>5</v>
      </c>
      <c r="B443" s="19">
        <v>2</v>
      </c>
      <c r="C443" s="19"/>
      <c r="D443" s="19" t="s">
        <v>77</v>
      </c>
      <c r="E443" s="143">
        <f>E444</f>
        <v>0</v>
      </c>
      <c r="F443" s="19"/>
    </row>
    <row r="444" spans="1:9" x14ac:dyDescent="0.25">
      <c r="A444" s="46">
        <v>5</v>
      </c>
      <c r="B444" s="46">
        <v>2</v>
      </c>
      <c r="C444" s="47" t="s">
        <v>380</v>
      </c>
      <c r="D444" s="46" t="s">
        <v>382</v>
      </c>
      <c r="E444" s="75">
        <v>0</v>
      </c>
      <c r="F444" s="46" t="s">
        <v>9</v>
      </c>
    </row>
    <row r="445" spans="1:9" x14ac:dyDescent="0.25">
      <c r="A445" s="19">
        <v>5</v>
      </c>
      <c r="B445" s="19">
        <v>3</v>
      </c>
      <c r="C445" s="19"/>
      <c r="D445" s="19" t="s">
        <v>78</v>
      </c>
      <c r="E445" s="143">
        <f>E446</f>
        <v>75600000</v>
      </c>
      <c r="F445" s="19"/>
    </row>
    <row r="446" spans="1:9" x14ac:dyDescent="0.25">
      <c r="A446" s="46">
        <v>5</v>
      </c>
      <c r="B446" s="46">
        <v>3</v>
      </c>
      <c r="C446" s="47" t="s">
        <v>380</v>
      </c>
      <c r="D446" s="46" t="s">
        <v>383</v>
      </c>
      <c r="E446" s="75">
        <f>E447</f>
        <v>75600000</v>
      </c>
      <c r="F446" s="46" t="s">
        <v>3</v>
      </c>
      <c r="H446" s="173">
        <f>E447/M5*100</f>
        <v>8.6685119742421346</v>
      </c>
      <c r="I446" t="s">
        <v>397</v>
      </c>
    </row>
    <row r="447" spans="1:9" x14ac:dyDescent="0.25">
      <c r="A447" s="46"/>
      <c r="B447" s="46"/>
      <c r="C447" s="47"/>
      <c r="D447" s="55" t="s">
        <v>384</v>
      </c>
      <c r="E447" s="51">
        <v>75600000</v>
      </c>
      <c r="F447" s="42"/>
      <c r="H447" s="189">
        <f>E447/3600000</f>
        <v>21</v>
      </c>
      <c r="I447" t="s">
        <v>420</v>
      </c>
    </row>
    <row r="448" spans="1:9" x14ac:dyDescent="0.25">
      <c r="A448" s="144"/>
      <c r="B448" s="144"/>
      <c r="C448" s="144"/>
      <c r="D448" s="144" t="s">
        <v>385</v>
      </c>
      <c r="E448" s="145">
        <f>E449</f>
        <v>0</v>
      </c>
      <c r="F448" s="144"/>
    </row>
    <row r="449" spans="1:9" x14ac:dyDescent="0.25">
      <c r="A449" s="46"/>
      <c r="B449" s="46"/>
      <c r="C449" s="46"/>
      <c r="D449" s="46" t="s">
        <v>386</v>
      </c>
      <c r="E449" s="213">
        <v>0</v>
      </c>
      <c r="F449" s="46" t="s">
        <v>3</v>
      </c>
      <c r="H449" t="s">
        <v>482</v>
      </c>
      <c r="I449" s="164">
        <v>214995906.21000001</v>
      </c>
    </row>
    <row r="450" spans="1:9" x14ac:dyDescent="0.25">
      <c r="H450" t="s">
        <v>483</v>
      </c>
      <c r="I450" s="164">
        <v>214249589.21000001</v>
      </c>
    </row>
    <row r="451" spans="1:9" x14ac:dyDescent="0.25">
      <c r="H451" t="s">
        <v>401</v>
      </c>
      <c r="I451" s="164">
        <f>I449-I450</f>
        <v>746317</v>
      </c>
    </row>
    <row r="452" spans="1:9" x14ac:dyDescent="0.25">
      <c r="D452" s="192" t="s">
        <v>392</v>
      </c>
      <c r="E452" s="191">
        <f>E4+E155+E332+E390+E440</f>
        <v>2390759800</v>
      </c>
      <c r="I452" s="164"/>
    </row>
    <row r="453" spans="1:9" x14ac:dyDescent="0.25">
      <c r="D453" s="192" t="s">
        <v>422</v>
      </c>
      <c r="E453" s="191">
        <f>E452+E448</f>
        <v>2390759800</v>
      </c>
      <c r="I453" s="164"/>
    </row>
    <row r="454" spans="1:9" x14ac:dyDescent="0.25">
      <c r="I454" s="164"/>
    </row>
    <row r="455" spans="1:9" x14ac:dyDescent="0.25">
      <c r="I455" s="164"/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7716535433070868" header="0.31496062992125984" footer="0.31496062992125984"/>
  <pageSetup paperSize="14" scale="8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Normal="100" workbookViewId="0">
      <selection activeCell="H53" sqref="H53"/>
    </sheetView>
  </sheetViews>
  <sheetFormatPr defaultRowHeight="15" x14ac:dyDescent="0.25"/>
  <cols>
    <col min="1" max="1" width="3.5703125" customWidth="1"/>
    <col min="2" max="2" width="2" bestFit="1" customWidth="1"/>
    <col min="3" max="3" width="3.5703125" bestFit="1" customWidth="1"/>
    <col min="4" max="4" width="58.7109375" customWidth="1"/>
    <col min="5" max="5" width="16.5703125" customWidth="1"/>
    <col min="6" max="6" width="14.85546875" customWidth="1"/>
    <col min="8" max="8" width="16.28515625" bestFit="1" customWidth="1"/>
    <col min="9" max="9" width="17.140625" customWidth="1"/>
    <col min="10" max="10" width="14.140625" customWidth="1"/>
    <col min="11" max="11" width="16.140625" customWidth="1"/>
    <col min="12" max="12" width="15.85546875" customWidth="1"/>
    <col min="13" max="13" width="14.28515625" customWidth="1"/>
    <col min="14" max="14" width="13.140625" customWidth="1"/>
    <col min="15" max="15" width="14" customWidth="1"/>
    <col min="16" max="16" width="12.42578125" customWidth="1"/>
    <col min="17" max="17" width="15.42578125" bestFit="1" customWidth="1"/>
  </cols>
  <sheetData>
    <row r="1" spans="1:19" ht="9" customHeight="1" x14ac:dyDescent="0.25">
      <c r="A1" s="377" t="s">
        <v>81</v>
      </c>
      <c r="B1" s="377"/>
      <c r="C1" s="377"/>
      <c r="D1" s="377"/>
      <c r="E1" s="377"/>
      <c r="F1" s="377"/>
    </row>
    <row r="2" spans="1:19" ht="8.25" customHeight="1" x14ac:dyDescent="0.25">
      <c r="A2" s="378"/>
      <c r="B2" s="378"/>
      <c r="C2" s="378"/>
      <c r="D2" s="378"/>
      <c r="E2" s="378"/>
      <c r="F2" s="378"/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190" t="s">
        <v>80</v>
      </c>
    </row>
    <row r="4" spans="1:19" x14ac:dyDescent="0.25">
      <c r="A4" s="7">
        <v>1</v>
      </c>
      <c r="B4" s="7"/>
      <c r="C4" s="7"/>
      <c r="D4" s="7" t="s">
        <v>21</v>
      </c>
      <c r="E4" s="31">
        <f>E5+E67+E85+E105+E135</f>
        <v>1369930980</v>
      </c>
      <c r="F4" s="32"/>
      <c r="H4" s="147" t="s">
        <v>387</v>
      </c>
      <c r="I4" s="148" t="s">
        <v>0</v>
      </c>
      <c r="J4" s="148" t="s">
        <v>1</v>
      </c>
      <c r="K4" s="148" t="s">
        <v>2</v>
      </c>
      <c r="L4" s="149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2261259800</v>
      </c>
      <c r="S4" s="150" t="s">
        <v>390</v>
      </c>
    </row>
    <row r="5" spans="1:19" ht="32.25" customHeight="1" x14ac:dyDescent="0.25">
      <c r="A5" s="8">
        <v>1</v>
      </c>
      <c r="B5" s="8">
        <v>1</v>
      </c>
      <c r="C5" s="8"/>
      <c r="D5" s="6" t="s">
        <v>20</v>
      </c>
      <c r="E5" s="33">
        <f>E6+E11+E19+E30+E49+E52+E58+E62+E64</f>
        <v>751782100</v>
      </c>
      <c r="F5" s="8"/>
      <c r="H5" s="147" t="s">
        <v>391</v>
      </c>
      <c r="I5" s="151">
        <f>PAGU!B11</f>
        <v>600882100</v>
      </c>
      <c r="J5" s="151">
        <f>PAGU!C28</f>
        <v>172811800</v>
      </c>
      <c r="K5" s="151">
        <f>PAGU!E28</f>
        <v>59043900</v>
      </c>
      <c r="L5" s="151">
        <f>[1]Sheet1!$L$3</f>
        <v>38000000</v>
      </c>
      <c r="M5" s="151">
        <f>PAGU!G11</f>
        <v>872122000</v>
      </c>
      <c r="N5" s="152">
        <f>[1]Sheet1!$M$3</f>
        <v>5000000</v>
      </c>
      <c r="O5" s="152">
        <f>[1]Sheet1!$J$3</f>
        <v>56400000</v>
      </c>
      <c r="P5" s="153">
        <f>[1]Sheet1!$K$3</f>
        <v>500000000</v>
      </c>
      <c r="Q5" s="154">
        <f>SUM(I5:P5)</f>
        <v>2304259800</v>
      </c>
      <c r="S5">
        <v>92931398</v>
      </c>
    </row>
    <row r="6" spans="1:19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75380596</v>
      </c>
      <c r="F6" s="3" t="s">
        <v>0</v>
      </c>
      <c r="H6" s="147" t="s">
        <v>392</v>
      </c>
      <c r="I6" s="151">
        <f>E7+E8+E12+E13+E15+E16+E17+E19+E33+E35+E37+E47+E48+E50+E78+E106+E120+E128+E309+E399+E400</f>
        <v>605882100</v>
      </c>
      <c r="J6" s="151">
        <f>E41+E46+E68+E74+E86+E97+E98+E110+E114+E115+E116+E125+E136+E139+E155+E328+E342+E345+E367+E369+E376+E401+E402</f>
        <v>163648880</v>
      </c>
      <c r="K6" s="151">
        <f>E44+E77+E96+E123+E346+E347++E360+E375</f>
        <v>38500800</v>
      </c>
      <c r="L6" s="151">
        <f>E9+E14+E18+E31+E34+E40+E42+E43+E45+E51+E52+E76+E79</f>
        <v>41500000</v>
      </c>
      <c r="M6" s="151">
        <f>E58+E94+E145+E162+E172+E179+E184+E191+E198+E231+E233+E235+E253+E264+E268+E280+E284+E308+E319+E386+E388+E404+E431+E435</f>
        <v>941100000</v>
      </c>
      <c r="N6" s="151">
        <f>E38+E39+E157</f>
        <v>10000000</v>
      </c>
      <c r="O6" s="151">
        <f>E62+E64</f>
        <v>56400000</v>
      </c>
      <c r="P6" s="155">
        <f>E82</f>
        <v>500000000</v>
      </c>
      <c r="Q6" s="156">
        <f>SUM(I6:P6)</f>
        <v>2357031780</v>
      </c>
      <c r="R6" s="79"/>
      <c r="S6" s="157">
        <f>S5+Q7</f>
        <v>40159418</v>
      </c>
    </row>
    <row r="7" spans="1:19" x14ac:dyDescent="0.25">
      <c r="A7" s="3"/>
      <c r="B7" s="3"/>
      <c r="C7" s="34"/>
      <c r="D7" s="36" t="s">
        <v>86</v>
      </c>
      <c r="E7" s="37">
        <v>51280596</v>
      </c>
      <c r="F7" s="37">
        <v>3927855</v>
      </c>
      <c r="H7" s="147"/>
      <c r="I7" s="155"/>
      <c r="J7" s="155"/>
      <c r="K7" s="155"/>
      <c r="L7" s="151"/>
      <c r="M7" s="155"/>
      <c r="N7" s="155"/>
      <c r="O7" s="155"/>
      <c r="P7" s="155"/>
      <c r="Q7" s="158">
        <f>Q5-Q6</f>
        <v>-52771980</v>
      </c>
      <c r="R7" s="79"/>
      <c r="S7" s="79"/>
    </row>
    <row r="8" spans="1:19" x14ac:dyDescent="0.25">
      <c r="A8" s="3"/>
      <c r="B8" s="3"/>
      <c r="C8" s="34"/>
      <c r="D8" s="36" t="s">
        <v>87</v>
      </c>
      <c r="E8" s="37">
        <v>22800000</v>
      </c>
      <c r="F8" s="37">
        <f>E8/12</f>
        <v>1900000</v>
      </c>
      <c r="H8" s="147" t="s">
        <v>393</v>
      </c>
      <c r="I8" s="152">
        <f>I5-I6</f>
        <v>-5000000</v>
      </c>
      <c r="J8" s="152">
        <f t="shared" ref="J8:P8" si="0">J5-J6</f>
        <v>9162920</v>
      </c>
      <c r="K8" s="152">
        <f t="shared" si="0"/>
        <v>20543100</v>
      </c>
      <c r="L8" s="152">
        <f t="shared" si="0"/>
        <v>-3500000</v>
      </c>
      <c r="M8" s="151">
        <f>M5-M6</f>
        <v>-68978000</v>
      </c>
      <c r="N8" s="151">
        <f t="shared" si="0"/>
        <v>-5000000</v>
      </c>
      <c r="O8" s="151">
        <f t="shared" si="0"/>
        <v>0</v>
      </c>
      <c r="P8" s="155">
        <f t="shared" si="0"/>
        <v>0</v>
      </c>
      <c r="Q8" s="156"/>
      <c r="R8" s="79"/>
      <c r="S8" s="79"/>
    </row>
    <row r="9" spans="1:19" x14ac:dyDescent="0.25">
      <c r="A9" s="3"/>
      <c r="B9" s="3"/>
      <c r="C9" s="34"/>
      <c r="D9" s="36" t="s">
        <v>88</v>
      </c>
      <c r="E9" s="37">
        <v>1300000</v>
      </c>
      <c r="F9" s="36" t="s">
        <v>6</v>
      </c>
      <c r="H9" s="79"/>
      <c r="I9" s="79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x14ac:dyDescent="0.25">
      <c r="A10" s="3"/>
      <c r="B10" s="3"/>
      <c r="C10" s="34"/>
      <c r="D10" s="38"/>
      <c r="E10" s="37"/>
      <c r="F10" s="3"/>
      <c r="H10" s="26" t="s">
        <v>395</v>
      </c>
      <c r="I10" s="25">
        <f>Q6-P6-O6</f>
        <v>1800631780</v>
      </c>
      <c r="J10" s="79">
        <v>630000000</v>
      </c>
      <c r="K10" s="159">
        <f>J5+K5</f>
        <v>231855700</v>
      </c>
      <c r="L10" s="159"/>
      <c r="M10" s="79">
        <f>M6*5%</f>
        <v>47055000</v>
      </c>
      <c r="N10" s="157"/>
      <c r="O10" s="157"/>
      <c r="P10" s="79"/>
      <c r="Q10" s="157"/>
      <c r="R10" s="79"/>
      <c r="S10" s="79"/>
    </row>
    <row r="11" spans="1:19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397759152</v>
      </c>
      <c r="F11" s="2" t="s">
        <v>90</v>
      </c>
      <c r="H11" s="160">
        <v>0.3</v>
      </c>
      <c r="I11" s="161">
        <f>I10*30%</f>
        <v>540189534</v>
      </c>
      <c r="K11" s="162">
        <f>J6+K6</f>
        <v>202149680</v>
      </c>
      <c r="L11" s="163"/>
      <c r="M11" s="164">
        <f>M5+M10</f>
        <v>919177000</v>
      </c>
      <c r="Q11" s="165">
        <v>601441000</v>
      </c>
      <c r="R11" s="79"/>
      <c r="S11" s="79"/>
    </row>
    <row r="12" spans="1:19" x14ac:dyDescent="0.25">
      <c r="A12" s="3"/>
      <c r="B12" s="3"/>
      <c r="C12" s="34"/>
      <c r="D12" s="36" t="s">
        <v>91</v>
      </c>
      <c r="E12" s="37">
        <v>35896416</v>
      </c>
      <c r="F12" s="39" t="s">
        <v>0</v>
      </c>
      <c r="H12" s="20" t="s">
        <v>396</v>
      </c>
      <c r="I12" s="166">
        <f>E5-E19-E30-E58-E62-E64</f>
        <v>524939748</v>
      </c>
      <c r="J12" s="167">
        <f>I12/I10*100</f>
        <v>29.153086923746287</v>
      </c>
      <c r="K12" s="168" t="s">
        <v>397</v>
      </c>
      <c r="L12" s="169">
        <f>I5*5%</f>
        <v>30044105</v>
      </c>
      <c r="M12" s="164">
        <f>M5+M19</f>
        <v>937122000</v>
      </c>
      <c r="O12" s="164">
        <f>M5-239300000</f>
        <v>632822000</v>
      </c>
      <c r="P12" s="1"/>
      <c r="Q12" s="1">
        <v>582565000</v>
      </c>
      <c r="R12" s="79"/>
      <c r="S12" s="79"/>
    </row>
    <row r="13" spans="1:19" x14ac:dyDescent="0.25">
      <c r="A13" s="3"/>
      <c r="B13" s="3"/>
      <c r="C13" s="34"/>
      <c r="D13" s="36" t="s">
        <v>92</v>
      </c>
      <c r="E13" s="37">
        <v>16800000</v>
      </c>
      <c r="F13" s="39" t="s">
        <v>0</v>
      </c>
      <c r="H13" s="20" t="s">
        <v>398</v>
      </c>
      <c r="I13" s="170">
        <f>I11-I12</f>
        <v>15249786</v>
      </c>
      <c r="J13">
        <f>I5*5%</f>
        <v>30044105</v>
      </c>
      <c r="K13" s="171"/>
      <c r="L13" s="169"/>
      <c r="M13" s="164">
        <f>I5+J5+K5+M5+O5+P5</f>
        <v>2261259800</v>
      </c>
      <c r="Q13" s="164">
        <f>Q11-Q12</f>
        <v>18876000</v>
      </c>
      <c r="R13" s="79"/>
      <c r="S13" s="79"/>
    </row>
    <row r="14" spans="1:19" x14ac:dyDescent="0.25">
      <c r="A14" s="3"/>
      <c r="B14" s="3"/>
      <c r="C14" s="34"/>
      <c r="D14" s="36" t="s">
        <v>93</v>
      </c>
      <c r="E14" s="37">
        <v>1125000</v>
      </c>
      <c r="F14" s="39" t="s">
        <v>6</v>
      </c>
      <c r="H14" s="171"/>
      <c r="I14" s="172"/>
      <c r="J14" s="164">
        <f>I5+J13</f>
        <v>630926205</v>
      </c>
      <c r="K14" s="171"/>
      <c r="L14" s="169"/>
      <c r="M14" s="164"/>
      <c r="Q14" s="164"/>
      <c r="R14" s="79"/>
      <c r="S14" s="79"/>
    </row>
    <row r="15" spans="1:19" x14ac:dyDescent="0.25">
      <c r="A15" s="3"/>
      <c r="B15" s="3"/>
      <c r="C15" s="34"/>
      <c r="D15" s="36" t="s">
        <v>94</v>
      </c>
      <c r="E15" s="37">
        <v>230762736</v>
      </c>
      <c r="F15" s="36" t="s">
        <v>0</v>
      </c>
      <c r="H15" s="173">
        <f>E12+E15+E16</f>
        <v>266659152</v>
      </c>
      <c r="I15" s="173">
        <f>E14+E18</f>
        <v>6300000</v>
      </c>
      <c r="K15">
        <f>11*12</f>
        <v>132</v>
      </c>
      <c r="M15" s="173">
        <f>M5*8%</f>
        <v>69769760</v>
      </c>
      <c r="N15" s="164">
        <v>73000000</v>
      </c>
    </row>
    <row r="16" spans="1:19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H16" s="173">
        <f>E13+E17</f>
        <v>124800000</v>
      </c>
      <c r="M16" s="173"/>
      <c r="N16" s="164"/>
    </row>
    <row r="17" spans="1:17" x14ac:dyDescent="0.25">
      <c r="A17" s="3"/>
      <c r="B17" s="3"/>
      <c r="C17" s="34"/>
      <c r="D17" s="36" t="s">
        <v>96</v>
      </c>
      <c r="E17" s="37">
        <v>108000000</v>
      </c>
      <c r="F17" s="36" t="s">
        <v>0</v>
      </c>
      <c r="H17" s="173">
        <f>SUM(E15:E16)</f>
        <v>230762736</v>
      </c>
      <c r="I17" s="173">
        <f>H17/108</f>
        <v>2136692</v>
      </c>
      <c r="J17" s="380">
        <f>J19+K19</f>
        <v>8000000</v>
      </c>
      <c r="K17" s="380"/>
    </row>
    <row r="18" spans="1:17" x14ac:dyDescent="0.25">
      <c r="A18" s="3"/>
      <c r="B18" s="3"/>
      <c r="C18" s="34"/>
      <c r="D18" s="36" t="s">
        <v>97</v>
      </c>
      <c r="E18" s="41">
        <v>5175000</v>
      </c>
      <c r="F18" s="42" t="s">
        <v>6</v>
      </c>
      <c r="H18" s="26"/>
      <c r="I18" s="174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SUM(E20:E29)</f>
        <v>19839372</v>
      </c>
      <c r="F19" s="3" t="s">
        <v>0</v>
      </c>
      <c r="H19" s="182" t="s">
        <v>390</v>
      </c>
      <c r="I19" s="176">
        <v>5000000</v>
      </c>
      <c r="J19" s="177">
        <v>4000000</v>
      </c>
      <c r="K19" s="177">
        <v>4000000</v>
      </c>
      <c r="L19" s="177">
        <v>3500000</v>
      </c>
      <c r="M19" s="197">
        <v>65000000</v>
      </c>
      <c r="N19" s="176">
        <v>5000000</v>
      </c>
      <c r="O19" s="176">
        <v>0</v>
      </c>
      <c r="P19" s="178">
        <v>0</v>
      </c>
      <c r="Q19" s="175"/>
    </row>
    <row r="20" spans="1:17" x14ac:dyDescent="0.25">
      <c r="A20" s="3"/>
      <c r="B20" s="3"/>
      <c r="C20" s="34"/>
      <c r="D20" s="43" t="s">
        <v>99</v>
      </c>
      <c r="E20" s="37"/>
      <c r="F20" s="3"/>
      <c r="H20" s="26" t="s">
        <v>399</v>
      </c>
      <c r="I20" s="381">
        <f>SUM(I19:N19)</f>
        <v>86500000</v>
      </c>
      <c r="J20" s="382"/>
      <c r="K20" s="382"/>
      <c r="L20" s="382"/>
      <c r="M20" s="382"/>
      <c r="N20" s="382"/>
      <c r="O20" s="382"/>
      <c r="P20" s="383"/>
      <c r="Q20" s="179"/>
    </row>
    <row r="21" spans="1:17" x14ac:dyDescent="0.25">
      <c r="A21" s="3"/>
      <c r="B21" s="3"/>
      <c r="C21" s="34"/>
      <c r="D21" s="43" t="s">
        <v>100</v>
      </c>
      <c r="E21" s="37">
        <v>1897380</v>
      </c>
      <c r="F21" s="44">
        <f>E21/12</f>
        <v>158115</v>
      </c>
      <c r="H21" s="180" t="s">
        <v>400</v>
      </c>
      <c r="I21" s="181">
        <f>I19-E16-E32-96753.61</f>
        <v>4903246.3899999997</v>
      </c>
      <c r="J21" s="181">
        <f>J8+J19</f>
        <v>13162920</v>
      </c>
      <c r="K21" s="181">
        <f>K8+K19</f>
        <v>24543100</v>
      </c>
      <c r="L21" s="181">
        <f>L19</f>
        <v>3500000</v>
      </c>
      <c r="M21" s="181">
        <f>M19</f>
        <v>65000000</v>
      </c>
      <c r="N21" s="181">
        <f>N8+N19</f>
        <v>0</v>
      </c>
      <c r="O21" s="181"/>
      <c r="P21" s="20"/>
      <c r="Q21" s="171"/>
    </row>
    <row r="22" spans="1:17" x14ac:dyDescent="0.25">
      <c r="A22" s="3"/>
      <c r="B22" s="3"/>
      <c r="C22" s="34"/>
      <c r="D22" s="43" t="s">
        <v>101</v>
      </c>
      <c r="E22" s="37">
        <v>1025616</v>
      </c>
      <c r="F22" s="44">
        <f>E22/12</f>
        <v>85468</v>
      </c>
      <c r="H22" s="26" t="s">
        <v>401</v>
      </c>
      <c r="I22" s="181">
        <f>I8+I19</f>
        <v>0</v>
      </c>
      <c r="J22" s="181">
        <f>J8+J19</f>
        <v>13162920</v>
      </c>
      <c r="K22" s="181">
        <f>K8+K19</f>
        <v>24543100</v>
      </c>
      <c r="L22" s="181">
        <f>L8+L19</f>
        <v>0</v>
      </c>
      <c r="M22" s="181">
        <f>M8+M19-E437</f>
        <v>-13978000</v>
      </c>
      <c r="N22" s="181">
        <f>N8+N19</f>
        <v>0</v>
      </c>
      <c r="O22" s="181"/>
      <c r="P22" s="20"/>
    </row>
    <row r="23" spans="1:17" x14ac:dyDescent="0.25">
      <c r="A23" s="3"/>
      <c r="B23" s="3"/>
      <c r="C23" s="34"/>
      <c r="D23" s="43" t="s">
        <v>102</v>
      </c>
      <c r="E23" s="37">
        <v>153840</v>
      </c>
      <c r="F23" s="44">
        <f>E23/12</f>
        <v>12820</v>
      </c>
    </row>
    <row r="24" spans="1:17" x14ac:dyDescent="0.25">
      <c r="A24" s="3"/>
      <c r="B24" s="3"/>
      <c r="C24" s="34"/>
      <c r="D24" s="43" t="s">
        <v>103</v>
      </c>
      <c r="E24" s="37">
        <v>123072</v>
      </c>
      <c r="F24" s="44">
        <f>E24/12</f>
        <v>10256</v>
      </c>
    </row>
    <row r="25" spans="1:17" hidden="1" x14ac:dyDescent="0.25">
      <c r="A25" s="3"/>
      <c r="B25" s="3"/>
      <c r="C25" s="34"/>
      <c r="D25" s="43" t="s">
        <v>104</v>
      </c>
      <c r="E25" s="37"/>
      <c r="F25" s="3"/>
    </row>
    <row r="26" spans="1:17" x14ac:dyDescent="0.25">
      <c r="A26" s="3"/>
      <c r="B26" s="3"/>
      <c r="C26" s="34"/>
      <c r="D26" s="43" t="s">
        <v>105</v>
      </c>
      <c r="E26" s="37">
        <v>9866328</v>
      </c>
      <c r="F26" s="3"/>
      <c r="L26" t="s">
        <v>437</v>
      </c>
      <c r="M26" s="194">
        <f>M5*3%</f>
        <v>26163660</v>
      </c>
      <c r="Q26" s="164">
        <f>I20+Q7</f>
        <v>33728020</v>
      </c>
    </row>
    <row r="27" spans="1:17" x14ac:dyDescent="0.25">
      <c r="A27" s="3"/>
      <c r="B27" s="3"/>
      <c r="C27" s="34"/>
      <c r="D27" s="43" t="s">
        <v>106</v>
      </c>
      <c r="E27" s="37">
        <v>5333196</v>
      </c>
      <c r="F27" s="3"/>
    </row>
    <row r="28" spans="1:17" x14ac:dyDescent="0.25">
      <c r="A28" s="3"/>
      <c r="B28" s="3"/>
      <c r="C28" s="34"/>
      <c r="D28" s="43" t="s">
        <v>107</v>
      </c>
      <c r="E28" s="37">
        <v>799968</v>
      </c>
      <c r="F28" s="3"/>
      <c r="K28" t="s">
        <v>442</v>
      </c>
      <c r="L28" s="164">
        <f>500000*12</f>
        <v>6000000</v>
      </c>
    </row>
    <row r="29" spans="1:17" x14ac:dyDescent="0.25">
      <c r="A29" s="3"/>
      <c r="B29" s="3"/>
      <c r="C29" s="34"/>
      <c r="D29" s="43" t="s">
        <v>108</v>
      </c>
      <c r="E29" s="37">
        <v>639972</v>
      </c>
      <c r="F29" s="3"/>
      <c r="K29" t="s">
        <v>443</v>
      </c>
      <c r="L29" s="164">
        <f>300000*9*12</f>
        <v>32400000</v>
      </c>
    </row>
    <row r="30" spans="1:17" x14ac:dyDescent="0.25">
      <c r="A30" s="3">
        <v>1</v>
      </c>
      <c r="B30" s="3">
        <v>1</v>
      </c>
      <c r="C30" s="34" t="s">
        <v>109</v>
      </c>
      <c r="D30" s="4" t="s">
        <v>16</v>
      </c>
      <c r="E30" s="45">
        <f>SUM(E31:E48)</f>
        <v>125602980</v>
      </c>
      <c r="F30" s="2"/>
      <c r="L30" s="164">
        <f>SUM(L28:L29)</f>
        <v>38400000</v>
      </c>
    </row>
    <row r="31" spans="1:17" x14ac:dyDescent="0.25">
      <c r="A31" s="46"/>
      <c r="B31" s="46"/>
      <c r="C31" s="47"/>
      <c r="D31" s="48" t="s">
        <v>110</v>
      </c>
      <c r="E31" s="49">
        <v>1500000</v>
      </c>
      <c r="F31" s="42" t="s">
        <v>6</v>
      </c>
    </row>
    <row r="32" spans="1:17" hidden="1" x14ac:dyDescent="0.25">
      <c r="A32" s="46"/>
      <c r="B32" s="46"/>
      <c r="C32" s="47"/>
      <c r="D32" s="48" t="s">
        <v>110</v>
      </c>
      <c r="E32" s="49">
        <v>0</v>
      </c>
      <c r="F32" s="42" t="s">
        <v>111</v>
      </c>
    </row>
    <row r="33" spans="1:9" x14ac:dyDescent="0.25">
      <c r="A33" s="46"/>
      <c r="B33" s="46"/>
      <c r="C33" s="47"/>
      <c r="D33" s="48" t="s">
        <v>112</v>
      </c>
      <c r="E33" s="205">
        <v>11000000</v>
      </c>
      <c r="F33" s="48" t="s">
        <v>0</v>
      </c>
      <c r="H33" s="173">
        <f>E35+I22</f>
        <v>927980</v>
      </c>
    </row>
    <row r="34" spans="1:9" x14ac:dyDescent="0.25">
      <c r="A34" s="46"/>
      <c r="B34" s="46"/>
      <c r="C34" s="47"/>
      <c r="D34" s="48" t="s">
        <v>113</v>
      </c>
      <c r="E34" s="49">
        <v>1200000</v>
      </c>
      <c r="F34" s="48" t="s">
        <v>6</v>
      </c>
    </row>
    <row r="35" spans="1:9" x14ac:dyDescent="0.25">
      <c r="A35" s="46"/>
      <c r="B35" s="46"/>
      <c r="C35" s="47"/>
      <c r="D35" s="42" t="s">
        <v>114</v>
      </c>
      <c r="E35" s="51">
        <v>927980</v>
      </c>
      <c r="F35" s="42" t="s">
        <v>0</v>
      </c>
    </row>
    <row r="36" spans="1:9" hidden="1" x14ac:dyDescent="0.25">
      <c r="A36" s="46"/>
      <c r="B36" s="46"/>
      <c r="C36" s="47"/>
      <c r="D36" s="42" t="s">
        <v>115</v>
      </c>
      <c r="E36" s="50">
        <v>0</v>
      </c>
      <c r="F36" s="42" t="s">
        <v>0</v>
      </c>
    </row>
    <row r="37" spans="1:9" x14ac:dyDescent="0.25">
      <c r="A37" s="46"/>
      <c r="B37" s="46"/>
      <c r="C37" s="47"/>
      <c r="D37" s="42" t="s">
        <v>116</v>
      </c>
      <c r="E37" s="50">
        <v>4000000</v>
      </c>
      <c r="F37" s="42" t="s">
        <v>0</v>
      </c>
    </row>
    <row r="38" spans="1:9" x14ac:dyDescent="0.25">
      <c r="A38" s="46"/>
      <c r="B38" s="46"/>
      <c r="C38" s="47"/>
      <c r="D38" s="48" t="s">
        <v>410</v>
      </c>
      <c r="E38" s="49">
        <v>4000000</v>
      </c>
      <c r="F38" s="42" t="s">
        <v>9</v>
      </c>
    </row>
    <row r="39" spans="1:9" x14ac:dyDescent="0.25">
      <c r="A39" s="46"/>
      <c r="B39" s="46"/>
      <c r="C39" s="47"/>
      <c r="D39" s="48" t="s">
        <v>410</v>
      </c>
      <c r="E39" s="49">
        <v>3000000</v>
      </c>
      <c r="F39" s="42" t="s">
        <v>433</v>
      </c>
    </row>
    <row r="40" spans="1:9" x14ac:dyDescent="0.25">
      <c r="A40" s="46"/>
      <c r="B40" s="46"/>
      <c r="C40" s="46"/>
      <c r="D40" s="42" t="s">
        <v>117</v>
      </c>
      <c r="E40" s="50">
        <v>1000000</v>
      </c>
      <c r="F40" s="42" t="s">
        <v>6</v>
      </c>
      <c r="H40" s="193" t="s">
        <v>430</v>
      </c>
    </row>
    <row r="41" spans="1:9" x14ac:dyDescent="0.25">
      <c r="A41" s="46"/>
      <c r="B41" s="46"/>
      <c r="C41" s="46"/>
      <c r="D41" s="42" t="s">
        <v>118</v>
      </c>
      <c r="E41" s="50">
        <v>6000000</v>
      </c>
      <c r="F41" s="42" t="s">
        <v>1</v>
      </c>
    </row>
    <row r="42" spans="1:9" x14ac:dyDescent="0.25">
      <c r="A42" s="46"/>
      <c r="B42" s="46"/>
      <c r="C42" s="46"/>
      <c r="D42" s="42" t="s">
        <v>118</v>
      </c>
      <c r="E42" s="50">
        <v>5000000</v>
      </c>
      <c r="F42" s="42" t="s">
        <v>6</v>
      </c>
    </row>
    <row r="43" spans="1:9" x14ac:dyDescent="0.25">
      <c r="A43" s="46"/>
      <c r="B43" s="46"/>
      <c r="C43" s="46"/>
      <c r="D43" s="42" t="s">
        <v>118</v>
      </c>
      <c r="E43" s="50">
        <v>1000000</v>
      </c>
      <c r="F43" s="42" t="s">
        <v>431</v>
      </c>
    </row>
    <row r="44" spans="1:9" x14ac:dyDescent="0.25">
      <c r="A44" s="46"/>
      <c r="B44" s="46"/>
      <c r="C44" s="46"/>
      <c r="D44" s="42" t="s">
        <v>118</v>
      </c>
      <c r="E44" s="50">
        <v>7000000</v>
      </c>
      <c r="F44" s="42" t="s">
        <v>2</v>
      </c>
    </row>
    <row r="45" spans="1:9" x14ac:dyDescent="0.25">
      <c r="A45" s="46"/>
      <c r="B45" s="46"/>
      <c r="C45" s="46"/>
      <c r="D45" s="42" t="s">
        <v>119</v>
      </c>
      <c r="E45" s="50">
        <v>10000000</v>
      </c>
      <c r="F45" s="42" t="s">
        <v>6</v>
      </c>
    </row>
    <row r="46" spans="1:9" x14ac:dyDescent="0.25">
      <c r="A46" s="46"/>
      <c r="B46" s="46"/>
      <c r="C46" s="46"/>
      <c r="D46" s="42" t="s">
        <v>120</v>
      </c>
      <c r="E46" s="51">
        <v>51000000</v>
      </c>
      <c r="F46" s="42" t="s">
        <v>1</v>
      </c>
      <c r="H46" s="173">
        <f>SUM(E46:E47)</f>
        <v>61200000</v>
      </c>
      <c r="I46" s="164">
        <f>800000*12</f>
        <v>9600000</v>
      </c>
    </row>
    <row r="47" spans="1:9" x14ac:dyDescent="0.25">
      <c r="A47" s="46"/>
      <c r="B47" s="46"/>
      <c r="C47" s="46"/>
      <c r="D47" s="42" t="s">
        <v>120</v>
      </c>
      <c r="E47" s="51">
        <v>10200000</v>
      </c>
      <c r="F47" s="42" t="s">
        <v>0</v>
      </c>
      <c r="I47" s="164">
        <f>700000*12</f>
        <v>8400000</v>
      </c>
    </row>
    <row r="48" spans="1:9" x14ac:dyDescent="0.25">
      <c r="A48" s="46"/>
      <c r="B48" s="46"/>
      <c r="C48" s="46"/>
      <c r="D48" s="42" t="s">
        <v>121</v>
      </c>
      <c r="E48" s="50">
        <v>8775000</v>
      </c>
      <c r="F48" s="42" t="s">
        <v>0</v>
      </c>
      <c r="I48" s="164">
        <f>600000*6*12</f>
        <v>43200000</v>
      </c>
    </row>
    <row r="49" spans="1:9" x14ac:dyDescent="0.25">
      <c r="A49" s="5">
        <v>1</v>
      </c>
      <c r="B49" s="5">
        <v>1</v>
      </c>
      <c r="C49" s="53" t="s">
        <v>122</v>
      </c>
      <c r="D49" s="5" t="s">
        <v>17</v>
      </c>
      <c r="E49" s="54">
        <f>SUM(E50:E51)</f>
        <v>44300000</v>
      </c>
      <c r="F49" s="5" t="s">
        <v>0</v>
      </c>
      <c r="I49" s="194">
        <f>SUM(I46:I48)</f>
        <v>61200000</v>
      </c>
    </row>
    <row r="50" spans="1:9" x14ac:dyDescent="0.25">
      <c r="A50" s="5"/>
      <c r="B50" s="5"/>
      <c r="C50" s="53"/>
      <c r="D50" s="55" t="s">
        <v>123</v>
      </c>
      <c r="E50" s="50">
        <v>40500000</v>
      </c>
      <c r="F50" s="42" t="s">
        <v>0</v>
      </c>
      <c r="I50" s="164">
        <f>I49/12</f>
        <v>5100000</v>
      </c>
    </row>
    <row r="51" spans="1:9" x14ac:dyDescent="0.25">
      <c r="A51" s="5"/>
      <c r="B51" s="5"/>
      <c r="C51" s="53"/>
      <c r="D51" s="55" t="s">
        <v>124</v>
      </c>
      <c r="E51" s="50">
        <v>3800000</v>
      </c>
      <c r="F51" s="42" t="s">
        <v>6</v>
      </c>
      <c r="I51" s="164">
        <f>I50*2</f>
        <v>10200000</v>
      </c>
    </row>
    <row r="52" spans="1:9" x14ac:dyDescent="0.25">
      <c r="A52" s="5">
        <v>1</v>
      </c>
      <c r="B52" s="5">
        <v>1</v>
      </c>
      <c r="C52" s="53" t="s">
        <v>125</v>
      </c>
      <c r="D52" s="5" t="s">
        <v>18</v>
      </c>
      <c r="E52" s="54">
        <f>SUM(E53:E57)</f>
        <v>7500000</v>
      </c>
      <c r="F52" s="5" t="s">
        <v>6</v>
      </c>
      <c r="I52" s="164">
        <f>I50*10</f>
        <v>51000000</v>
      </c>
    </row>
    <row r="53" spans="1:9" x14ac:dyDescent="0.25">
      <c r="A53" s="46"/>
      <c r="B53" s="46"/>
      <c r="C53" s="46"/>
      <c r="D53" s="42" t="s">
        <v>126</v>
      </c>
      <c r="E53" s="50">
        <v>500000</v>
      </c>
      <c r="F53" s="42" t="s">
        <v>6</v>
      </c>
      <c r="I53" s="164"/>
    </row>
    <row r="54" spans="1:9" x14ac:dyDescent="0.25">
      <c r="A54" s="46"/>
      <c r="B54" s="46"/>
      <c r="C54" s="46"/>
      <c r="D54" s="52" t="s">
        <v>436</v>
      </c>
      <c r="E54" s="51">
        <v>2500000</v>
      </c>
      <c r="F54" s="42"/>
    </row>
    <row r="55" spans="1:9" x14ac:dyDescent="0.25">
      <c r="A55" s="46"/>
      <c r="B55" s="46"/>
      <c r="C55" s="46"/>
      <c r="D55" s="42" t="s">
        <v>127</v>
      </c>
      <c r="E55" s="50">
        <v>1000000</v>
      </c>
      <c r="F55" s="42" t="s">
        <v>6</v>
      </c>
    </row>
    <row r="56" spans="1:9" x14ac:dyDescent="0.25">
      <c r="A56" s="46"/>
      <c r="B56" s="46"/>
      <c r="C56" s="46"/>
      <c r="D56" s="42" t="s">
        <v>128</v>
      </c>
      <c r="E56" s="50">
        <v>2500000</v>
      </c>
      <c r="F56" s="42" t="s">
        <v>6</v>
      </c>
    </row>
    <row r="57" spans="1:9" x14ac:dyDescent="0.25">
      <c r="A57" s="46"/>
      <c r="B57" s="46"/>
      <c r="C57" s="46"/>
      <c r="D57" s="42" t="s">
        <v>129</v>
      </c>
      <c r="E57" s="50">
        <v>1000000</v>
      </c>
      <c r="F57" s="42" t="s">
        <v>6</v>
      </c>
    </row>
    <row r="58" spans="1:9" x14ac:dyDescent="0.25">
      <c r="A58" s="5">
        <v>1</v>
      </c>
      <c r="B58" s="5">
        <v>1</v>
      </c>
      <c r="C58" s="53" t="s">
        <v>160</v>
      </c>
      <c r="D58" s="195" t="s">
        <v>438</v>
      </c>
      <c r="E58" s="196">
        <f>SUM(E59:E61)</f>
        <v>25000000</v>
      </c>
      <c r="F58" s="195" t="s">
        <v>3</v>
      </c>
    </row>
    <row r="59" spans="1:9" x14ac:dyDescent="0.25">
      <c r="A59" s="46"/>
      <c r="B59" s="46"/>
      <c r="C59" s="55" t="s">
        <v>85</v>
      </c>
      <c r="D59" s="42" t="s">
        <v>439</v>
      </c>
      <c r="E59" s="50">
        <v>5000000</v>
      </c>
      <c r="F59" s="42"/>
    </row>
    <row r="60" spans="1:9" s="188" customFormat="1" ht="30" x14ac:dyDescent="0.25">
      <c r="A60" s="97"/>
      <c r="B60" s="97"/>
      <c r="C60" s="38" t="s">
        <v>89</v>
      </c>
      <c r="D60" s="43" t="s">
        <v>440</v>
      </c>
      <c r="E60" s="37">
        <v>10000000</v>
      </c>
      <c r="F60" s="36"/>
    </row>
    <row r="61" spans="1:9" x14ac:dyDescent="0.25">
      <c r="A61" s="46"/>
      <c r="B61" s="46"/>
      <c r="C61" s="55" t="s">
        <v>98</v>
      </c>
      <c r="D61" s="42" t="s">
        <v>441</v>
      </c>
      <c r="E61" s="50">
        <v>10000000</v>
      </c>
      <c r="F61" s="42"/>
    </row>
    <row r="62" spans="1:9" x14ac:dyDescent="0.25">
      <c r="A62" s="5">
        <v>1</v>
      </c>
      <c r="B62" s="5">
        <v>1</v>
      </c>
      <c r="C62" s="53" t="s">
        <v>130</v>
      </c>
      <c r="D62" s="5" t="s">
        <v>19</v>
      </c>
      <c r="E62" s="54">
        <f>E63</f>
        <v>18000000</v>
      </c>
      <c r="F62" s="5" t="s">
        <v>131</v>
      </c>
    </row>
    <row r="63" spans="1:9" x14ac:dyDescent="0.25">
      <c r="A63" s="46"/>
      <c r="B63" s="46"/>
      <c r="C63" s="46"/>
      <c r="D63" s="42" t="s">
        <v>19</v>
      </c>
      <c r="E63" s="50">
        <v>18000000</v>
      </c>
      <c r="F63" s="42" t="s">
        <v>131</v>
      </c>
    </row>
    <row r="64" spans="1:9" x14ac:dyDescent="0.25">
      <c r="A64" s="5">
        <v>1</v>
      </c>
      <c r="B64" s="5">
        <v>1</v>
      </c>
      <c r="C64" s="53" t="s">
        <v>444</v>
      </c>
      <c r="D64" s="195" t="s">
        <v>445</v>
      </c>
      <c r="E64" s="196">
        <f>SUM(E65:E66)</f>
        <v>38400000</v>
      </c>
      <c r="F64" s="195" t="s">
        <v>131</v>
      </c>
      <c r="H64">
        <f>9*12</f>
        <v>108</v>
      </c>
    </row>
    <row r="65" spans="1:8" x14ac:dyDescent="0.25">
      <c r="A65" s="5"/>
      <c r="B65" s="5"/>
      <c r="C65" s="53"/>
      <c r="D65" s="42" t="s">
        <v>446</v>
      </c>
      <c r="E65" s="50">
        <v>6000000</v>
      </c>
      <c r="F65" s="42"/>
      <c r="H65">
        <f>10*12</f>
        <v>120</v>
      </c>
    </row>
    <row r="66" spans="1:8" x14ac:dyDescent="0.25">
      <c r="A66" s="46"/>
      <c r="B66" s="46"/>
      <c r="C66" s="46"/>
      <c r="D66" s="42" t="s">
        <v>447</v>
      </c>
      <c r="E66" s="50">
        <v>32400000</v>
      </c>
      <c r="F66" s="42"/>
      <c r="H66">
        <f>11*12</f>
        <v>132</v>
      </c>
    </row>
    <row r="67" spans="1:8" x14ac:dyDescent="0.25">
      <c r="A67" s="8">
        <v>1</v>
      </c>
      <c r="B67" s="8">
        <v>2</v>
      </c>
      <c r="C67" s="56"/>
      <c r="D67" s="8" t="s">
        <v>25</v>
      </c>
      <c r="E67" s="57">
        <f>E68+E72+E82</f>
        <v>557148880</v>
      </c>
      <c r="F67" s="58"/>
    </row>
    <row r="68" spans="1:8" x14ac:dyDescent="0.25">
      <c r="A68" s="5">
        <v>1</v>
      </c>
      <c r="B68" s="5">
        <v>2</v>
      </c>
      <c r="C68" s="53" t="s">
        <v>85</v>
      </c>
      <c r="D68" s="5" t="s">
        <v>22</v>
      </c>
      <c r="E68" s="54">
        <f>SUM(E69:E71)</f>
        <v>37648880</v>
      </c>
      <c r="F68" s="5" t="s">
        <v>1</v>
      </c>
    </row>
    <row r="69" spans="1:8" x14ac:dyDescent="0.25">
      <c r="A69" s="46"/>
      <c r="B69" s="46"/>
      <c r="C69" s="47"/>
      <c r="D69" s="42" t="s">
        <v>428</v>
      </c>
      <c r="E69" s="50">
        <v>17173600</v>
      </c>
      <c r="F69" s="42" t="s">
        <v>1</v>
      </c>
    </row>
    <row r="70" spans="1:8" x14ac:dyDescent="0.25">
      <c r="A70" s="46"/>
      <c r="B70" s="46"/>
      <c r="C70" s="47"/>
      <c r="D70" s="42" t="s">
        <v>423</v>
      </c>
      <c r="E70" s="50">
        <v>3500000</v>
      </c>
      <c r="F70" s="52" t="s">
        <v>1</v>
      </c>
      <c r="G70" s="204" t="s">
        <v>111</v>
      </c>
    </row>
    <row r="71" spans="1:8" x14ac:dyDescent="0.25">
      <c r="A71" s="46"/>
      <c r="B71" s="46"/>
      <c r="C71" s="47"/>
      <c r="D71" s="42" t="s">
        <v>132</v>
      </c>
      <c r="E71" s="50">
        <v>16975280</v>
      </c>
      <c r="F71" s="52" t="s">
        <v>1</v>
      </c>
      <c r="G71" s="204" t="s">
        <v>0</v>
      </c>
    </row>
    <row r="72" spans="1:8" x14ac:dyDescent="0.25">
      <c r="A72" s="3">
        <v>1</v>
      </c>
      <c r="B72" s="3">
        <v>2</v>
      </c>
      <c r="C72" s="34" t="s">
        <v>89</v>
      </c>
      <c r="D72" s="3" t="s">
        <v>23</v>
      </c>
      <c r="E72" s="35">
        <f>E73+E77+E78+E79</f>
        <v>19500000</v>
      </c>
      <c r="F72" s="59" t="s">
        <v>133</v>
      </c>
    </row>
    <row r="73" spans="1:8" x14ac:dyDescent="0.25">
      <c r="A73" s="5"/>
      <c r="B73" s="5"/>
      <c r="C73" s="53"/>
      <c r="D73" s="60" t="s">
        <v>134</v>
      </c>
      <c r="E73" s="61">
        <f>SUM(E74:E76)</f>
        <v>3900000</v>
      </c>
      <c r="F73" s="60" t="s">
        <v>135</v>
      </c>
    </row>
    <row r="74" spans="1:8" x14ac:dyDescent="0.25">
      <c r="A74" s="5"/>
      <c r="B74" s="5"/>
      <c r="C74" s="53"/>
      <c r="D74" s="62" t="s">
        <v>136</v>
      </c>
      <c r="E74" s="49">
        <v>3000000</v>
      </c>
      <c r="F74" s="48" t="s">
        <v>1</v>
      </c>
    </row>
    <row r="75" spans="1:8" hidden="1" x14ac:dyDescent="0.25">
      <c r="A75" s="5"/>
      <c r="B75" s="5"/>
      <c r="C75" s="53"/>
      <c r="D75" s="62" t="s">
        <v>136</v>
      </c>
      <c r="E75" s="49">
        <v>0</v>
      </c>
      <c r="F75" s="48" t="s">
        <v>0</v>
      </c>
    </row>
    <row r="76" spans="1:8" x14ac:dyDescent="0.25">
      <c r="A76" s="5"/>
      <c r="B76" s="5"/>
      <c r="C76" s="53"/>
      <c r="D76" s="62" t="s">
        <v>137</v>
      </c>
      <c r="E76" s="49">
        <v>900000</v>
      </c>
      <c r="F76" s="48" t="s">
        <v>6</v>
      </c>
    </row>
    <row r="77" spans="1:8" x14ac:dyDescent="0.25">
      <c r="A77" s="5"/>
      <c r="B77" s="5"/>
      <c r="C77" s="53"/>
      <c r="D77" s="63" t="s">
        <v>138</v>
      </c>
      <c r="E77" s="64">
        <v>4000000</v>
      </c>
      <c r="F77" s="63" t="s">
        <v>2</v>
      </c>
    </row>
    <row r="78" spans="1:8" x14ac:dyDescent="0.25">
      <c r="A78" s="5"/>
      <c r="B78" s="5"/>
      <c r="C78" s="53"/>
      <c r="D78" s="63" t="s">
        <v>139</v>
      </c>
      <c r="E78" s="64">
        <v>9600000</v>
      </c>
      <c r="F78" s="63" t="s">
        <v>0</v>
      </c>
    </row>
    <row r="79" spans="1:8" x14ac:dyDescent="0.25">
      <c r="A79" s="5"/>
      <c r="B79" s="5"/>
      <c r="C79" s="53"/>
      <c r="D79" s="63" t="s">
        <v>140</v>
      </c>
      <c r="E79" s="64">
        <f>E80+E81</f>
        <v>2000000</v>
      </c>
      <c r="F79" s="63" t="s">
        <v>6</v>
      </c>
    </row>
    <row r="80" spans="1:8" x14ac:dyDescent="0.25">
      <c r="A80" s="5"/>
      <c r="B80" s="5"/>
      <c r="C80" s="53"/>
      <c r="D80" s="65" t="s">
        <v>141</v>
      </c>
      <c r="E80" s="66">
        <v>1000000</v>
      </c>
      <c r="F80" s="67"/>
    </row>
    <row r="81" spans="1:7" x14ac:dyDescent="0.25">
      <c r="A81" s="5"/>
      <c r="B81" s="5"/>
      <c r="C81" s="53"/>
      <c r="D81" s="65" t="s">
        <v>142</v>
      </c>
      <c r="E81" s="66">
        <v>1000000</v>
      </c>
      <c r="F81" s="67"/>
    </row>
    <row r="82" spans="1:7" ht="30" x14ac:dyDescent="0.25">
      <c r="A82" s="3">
        <v>1</v>
      </c>
      <c r="B82" s="3">
        <v>2</v>
      </c>
      <c r="C82" s="34" t="s">
        <v>98</v>
      </c>
      <c r="D82" s="2" t="s">
        <v>24</v>
      </c>
      <c r="E82" s="35">
        <f>SUM(E83:E84)</f>
        <v>500000000</v>
      </c>
      <c r="F82" s="3" t="s">
        <v>4</v>
      </c>
    </row>
    <row r="83" spans="1:7" hidden="1" x14ac:dyDescent="0.25">
      <c r="A83" s="3"/>
      <c r="B83" s="3"/>
      <c r="C83" s="34"/>
      <c r="D83" s="65" t="s">
        <v>143</v>
      </c>
      <c r="E83" s="37">
        <v>0</v>
      </c>
      <c r="F83" s="36" t="s">
        <v>6</v>
      </c>
    </row>
    <row r="84" spans="1:7" x14ac:dyDescent="0.25">
      <c r="A84" s="5"/>
      <c r="B84" s="5"/>
      <c r="C84" s="53"/>
      <c r="D84" s="65" t="s">
        <v>143</v>
      </c>
      <c r="E84" s="66">
        <v>500000000</v>
      </c>
      <c r="F84" s="67" t="s">
        <v>4</v>
      </c>
    </row>
    <row r="85" spans="1:7" ht="30" x14ac:dyDescent="0.25">
      <c r="A85" s="68">
        <v>1</v>
      </c>
      <c r="B85" s="68">
        <v>3</v>
      </c>
      <c r="C85" s="68"/>
      <c r="D85" s="9" t="s">
        <v>26</v>
      </c>
      <c r="E85" s="33">
        <f>E86+E90+E95+E98</f>
        <v>15000000</v>
      </c>
      <c r="F85" s="69"/>
    </row>
    <row r="86" spans="1:7" x14ac:dyDescent="0.25">
      <c r="A86" s="5">
        <v>1</v>
      </c>
      <c r="B86" s="5">
        <v>3</v>
      </c>
      <c r="C86" s="53" t="s">
        <v>85</v>
      </c>
      <c r="D86" s="70" t="s">
        <v>27</v>
      </c>
      <c r="E86" s="54">
        <f>SUM(E87:E89)</f>
        <v>2000000</v>
      </c>
      <c r="F86" s="12" t="s">
        <v>427</v>
      </c>
    </row>
    <row r="87" spans="1:7" x14ac:dyDescent="0.25">
      <c r="A87" s="46"/>
      <c r="B87" s="46"/>
      <c r="C87" s="46"/>
      <c r="D87" s="71" t="s">
        <v>144</v>
      </c>
      <c r="E87" s="50">
        <v>1000000</v>
      </c>
      <c r="F87" s="71" t="s">
        <v>426</v>
      </c>
    </row>
    <row r="88" spans="1:7" x14ac:dyDescent="0.25">
      <c r="A88" s="46"/>
      <c r="B88" s="46"/>
      <c r="C88" s="46"/>
      <c r="D88" s="71" t="s">
        <v>145</v>
      </c>
      <c r="E88" s="50">
        <v>500000</v>
      </c>
      <c r="F88" s="71" t="s">
        <v>1</v>
      </c>
    </row>
    <row r="89" spans="1:7" x14ac:dyDescent="0.25">
      <c r="A89" s="46"/>
      <c r="B89" s="46"/>
      <c r="C89" s="46"/>
      <c r="D89" s="71" t="s">
        <v>425</v>
      </c>
      <c r="E89" s="50">
        <v>500000</v>
      </c>
      <c r="F89" s="71" t="s">
        <v>1</v>
      </c>
    </row>
    <row r="90" spans="1:7" x14ac:dyDescent="0.25">
      <c r="A90" s="5">
        <v>1</v>
      </c>
      <c r="B90" s="5">
        <v>3</v>
      </c>
      <c r="C90" s="53" t="s">
        <v>89</v>
      </c>
      <c r="D90" s="5" t="s">
        <v>28</v>
      </c>
      <c r="E90" s="54">
        <f>SUM(E91:E94)</f>
        <v>6000000</v>
      </c>
      <c r="F90" s="5" t="s">
        <v>3</v>
      </c>
    </row>
    <row r="91" spans="1:7" hidden="1" x14ac:dyDescent="0.25">
      <c r="A91" s="46"/>
      <c r="B91" s="46"/>
      <c r="C91" s="46"/>
      <c r="D91" s="42" t="s">
        <v>146</v>
      </c>
      <c r="E91" s="50">
        <v>0</v>
      </c>
      <c r="F91" s="42" t="s">
        <v>6</v>
      </c>
    </row>
    <row r="92" spans="1:7" x14ac:dyDescent="0.25">
      <c r="A92" s="46"/>
      <c r="B92" s="46"/>
      <c r="C92" s="46"/>
      <c r="D92" s="42" t="s">
        <v>128</v>
      </c>
      <c r="E92" s="50">
        <v>0</v>
      </c>
      <c r="F92" s="73"/>
    </row>
    <row r="93" spans="1:7" x14ac:dyDescent="0.25">
      <c r="A93" s="46"/>
      <c r="B93" s="46"/>
      <c r="C93" s="46"/>
      <c r="D93" s="42" t="s">
        <v>145</v>
      </c>
      <c r="E93" s="50">
        <v>0</v>
      </c>
      <c r="F93" s="48" t="s">
        <v>6</v>
      </c>
    </row>
    <row r="94" spans="1:7" x14ac:dyDescent="0.25">
      <c r="A94" s="46"/>
      <c r="B94" s="46"/>
      <c r="C94" s="46"/>
      <c r="D94" s="42" t="s">
        <v>147</v>
      </c>
      <c r="E94" s="50">
        <v>6000000</v>
      </c>
      <c r="F94" s="48" t="s">
        <v>3</v>
      </c>
      <c r="G94" s="186"/>
    </row>
    <row r="95" spans="1:7" x14ac:dyDescent="0.25">
      <c r="A95" s="3">
        <v>1</v>
      </c>
      <c r="B95" s="3">
        <v>3</v>
      </c>
      <c r="C95" s="34" t="s">
        <v>98</v>
      </c>
      <c r="D95" s="2" t="s">
        <v>29</v>
      </c>
      <c r="E95" s="35">
        <f>SUM(E96:E97)</f>
        <v>3000000</v>
      </c>
      <c r="F95" s="3" t="s">
        <v>434</v>
      </c>
    </row>
    <row r="96" spans="1:7" x14ac:dyDescent="0.25">
      <c r="A96" s="46"/>
      <c r="B96" s="46"/>
      <c r="C96" s="46"/>
      <c r="D96" s="42" t="s">
        <v>144</v>
      </c>
      <c r="E96" s="50">
        <v>1500000</v>
      </c>
      <c r="F96" s="48" t="s">
        <v>2</v>
      </c>
    </row>
    <row r="97" spans="1:6" x14ac:dyDescent="0.25">
      <c r="A97" s="46"/>
      <c r="B97" s="46"/>
      <c r="C97" s="46"/>
      <c r="D97" s="42" t="s">
        <v>144</v>
      </c>
      <c r="E97" s="50">
        <v>1500000</v>
      </c>
      <c r="F97" s="48" t="s">
        <v>426</v>
      </c>
    </row>
    <row r="98" spans="1:6" x14ac:dyDescent="0.25">
      <c r="A98" s="3">
        <v>1</v>
      </c>
      <c r="B98" s="3">
        <v>3</v>
      </c>
      <c r="C98" s="34" t="s">
        <v>122</v>
      </c>
      <c r="D98" s="2" t="s">
        <v>30</v>
      </c>
      <c r="E98" s="35">
        <f>SUM(E99:E100)</f>
        <v>4000000</v>
      </c>
      <c r="F98" s="3" t="s">
        <v>1</v>
      </c>
    </row>
    <row r="99" spans="1:6" x14ac:dyDescent="0.25">
      <c r="A99" s="46"/>
      <c r="B99" s="46"/>
      <c r="C99" s="46"/>
      <c r="D99" s="42" t="s">
        <v>148</v>
      </c>
      <c r="E99" s="50">
        <v>4000000</v>
      </c>
      <c r="F99" s="74"/>
    </row>
    <row r="100" spans="1:6" hidden="1" x14ac:dyDescent="0.25">
      <c r="A100" s="46"/>
      <c r="B100" s="46"/>
      <c r="C100" s="46"/>
      <c r="D100" s="42"/>
      <c r="E100" s="50"/>
      <c r="F100" s="74"/>
    </row>
    <row r="101" spans="1:6" ht="15" hidden="1" customHeight="1" x14ac:dyDescent="0.25">
      <c r="A101" s="46"/>
      <c r="B101" s="46"/>
      <c r="C101" s="46"/>
      <c r="D101" s="42" t="s">
        <v>145</v>
      </c>
      <c r="E101" s="50">
        <v>0</v>
      </c>
      <c r="F101" s="42"/>
    </row>
    <row r="102" spans="1:6" ht="15" hidden="1" customHeight="1" x14ac:dyDescent="0.25">
      <c r="A102" s="46"/>
      <c r="B102" s="46"/>
      <c r="C102" s="46"/>
      <c r="D102" s="42" t="s">
        <v>128</v>
      </c>
      <c r="E102" s="50">
        <v>0</v>
      </c>
      <c r="F102" s="42"/>
    </row>
    <row r="103" spans="1:6" ht="15" hidden="1" customHeight="1" x14ac:dyDescent="0.25">
      <c r="A103" s="46"/>
      <c r="B103" s="46"/>
      <c r="C103" s="46"/>
      <c r="D103" s="42" t="s">
        <v>129</v>
      </c>
      <c r="E103" s="50">
        <v>0</v>
      </c>
      <c r="F103" s="63"/>
    </row>
    <row r="104" spans="1:6" ht="15" hidden="1" customHeight="1" x14ac:dyDescent="0.25">
      <c r="A104" s="46"/>
      <c r="B104" s="46"/>
      <c r="C104" s="46"/>
      <c r="D104" s="46" t="s">
        <v>150</v>
      </c>
      <c r="E104" s="75">
        <v>0</v>
      </c>
      <c r="F104" s="5"/>
    </row>
    <row r="105" spans="1:6" ht="30" x14ac:dyDescent="0.25">
      <c r="A105" s="68">
        <v>1</v>
      </c>
      <c r="B105" s="68">
        <v>4</v>
      </c>
      <c r="C105" s="68"/>
      <c r="D105" s="9" t="s">
        <v>31</v>
      </c>
      <c r="E105" s="33">
        <f>E106+E109+E112+E119+E125+E128</f>
        <v>46000000</v>
      </c>
      <c r="F105" s="68"/>
    </row>
    <row r="106" spans="1:6" ht="30" x14ac:dyDescent="0.25">
      <c r="A106" s="3">
        <v>1</v>
      </c>
      <c r="B106" s="3">
        <v>4</v>
      </c>
      <c r="C106" s="34" t="s">
        <v>85</v>
      </c>
      <c r="D106" s="2" t="s">
        <v>32</v>
      </c>
      <c r="E106" s="35">
        <f>SUM(E107:E108)</f>
        <v>3500000</v>
      </c>
      <c r="F106" s="3" t="s">
        <v>424</v>
      </c>
    </row>
    <row r="107" spans="1:6" x14ac:dyDescent="0.25">
      <c r="A107" s="46"/>
      <c r="B107" s="46"/>
      <c r="C107" s="46"/>
      <c r="D107" s="48" t="s">
        <v>128</v>
      </c>
      <c r="E107" s="49">
        <v>3500000</v>
      </c>
      <c r="F107" s="48" t="s">
        <v>424</v>
      </c>
    </row>
    <row r="108" spans="1:6" hidden="1" x14ac:dyDescent="0.25">
      <c r="A108" s="46"/>
      <c r="B108" s="46"/>
      <c r="C108" s="46"/>
      <c r="D108" s="48" t="s">
        <v>151</v>
      </c>
      <c r="E108" s="49">
        <v>0</v>
      </c>
      <c r="F108" s="48" t="s">
        <v>1</v>
      </c>
    </row>
    <row r="109" spans="1:6" x14ac:dyDescent="0.25">
      <c r="A109" s="5">
        <v>1</v>
      </c>
      <c r="B109" s="5">
        <v>4</v>
      </c>
      <c r="C109" s="53" t="s">
        <v>89</v>
      </c>
      <c r="D109" s="5" t="s">
        <v>33</v>
      </c>
      <c r="E109" s="54">
        <f>SUM(E110:E111)</f>
        <v>3000000</v>
      </c>
      <c r="F109" s="5" t="s">
        <v>1</v>
      </c>
    </row>
    <row r="110" spans="1:6" x14ac:dyDescent="0.25">
      <c r="A110" s="5"/>
      <c r="B110" s="5"/>
      <c r="C110" s="53"/>
      <c r="D110" s="48" t="s">
        <v>128</v>
      </c>
      <c r="E110" s="49">
        <v>3000000</v>
      </c>
      <c r="F110" s="48" t="s">
        <v>1</v>
      </c>
    </row>
    <row r="111" spans="1:6" hidden="1" x14ac:dyDescent="0.25">
      <c r="A111" s="5"/>
      <c r="B111" s="5"/>
      <c r="C111" s="53"/>
      <c r="D111" s="48" t="s">
        <v>145</v>
      </c>
      <c r="E111" s="49">
        <v>0</v>
      </c>
      <c r="F111" s="48" t="s">
        <v>1</v>
      </c>
    </row>
    <row r="112" spans="1:6" ht="35.25" customHeight="1" x14ac:dyDescent="0.25">
      <c r="A112" s="3">
        <v>1</v>
      </c>
      <c r="B112" s="3">
        <v>4</v>
      </c>
      <c r="C112" s="34" t="s">
        <v>98</v>
      </c>
      <c r="D112" s="2" t="s">
        <v>34</v>
      </c>
      <c r="E112" s="35">
        <f>SUM(E113:E118)</f>
        <v>8500000</v>
      </c>
      <c r="F112" s="2" t="s">
        <v>1</v>
      </c>
    </row>
    <row r="113" spans="1:6" hidden="1" x14ac:dyDescent="0.25">
      <c r="A113" s="46"/>
      <c r="B113" s="46"/>
      <c r="C113" s="46"/>
      <c r="D113" s="42" t="s">
        <v>152</v>
      </c>
      <c r="E113" s="50">
        <v>0</v>
      </c>
      <c r="F113" s="42" t="s">
        <v>6</v>
      </c>
    </row>
    <row r="114" spans="1:6" x14ac:dyDescent="0.25">
      <c r="A114" s="46"/>
      <c r="B114" s="46"/>
      <c r="C114" s="46"/>
      <c r="D114" s="42" t="s">
        <v>128</v>
      </c>
      <c r="E114" s="50">
        <v>1000000</v>
      </c>
      <c r="F114" s="42" t="s">
        <v>1</v>
      </c>
    </row>
    <row r="115" spans="1:6" x14ac:dyDescent="0.25">
      <c r="A115" s="46"/>
      <c r="B115" s="46"/>
      <c r="C115" s="46"/>
      <c r="D115" s="42" t="s">
        <v>153</v>
      </c>
      <c r="E115" s="49">
        <v>6000000</v>
      </c>
      <c r="F115" s="42" t="s">
        <v>1</v>
      </c>
    </row>
    <row r="116" spans="1:6" x14ac:dyDescent="0.25">
      <c r="A116" s="46"/>
      <c r="B116" s="46"/>
      <c r="C116" s="46"/>
      <c r="D116" s="42" t="s">
        <v>154</v>
      </c>
      <c r="E116" s="49">
        <v>1500000</v>
      </c>
      <c r="F116" s="42" t="s">
        <v>426</v>
      </c>
    </row>
    <row r="117" spans="1:6" hidden="1" x14ac:dyDescent="0.25">
      <c r="A117" s="46"/>
      <c r="B117" s="46"/>
      <c r="C117" s="46"/>
      <c r="D117" s="42" t="s">
        <v>155</v>
      </c>
      <c r="E117" s="49">
        <v>0</v>
      </c>
      <c r="F117" s="42" t="s">
        <v>1</v>
      </c>
    </row>
    <row r="118" spans="1:6" hidden="1" x14ac:dyDescent="0.25">
      <c r="A118" s="46"/>
      <c r="B118" s="46"/>
      <c r="C118" s="46"/>
      <c r="D118" s="42" t="s">
        <v>129</v>
      </c>
      <c r="E118" s="49">
        <v>0</v>
      </c>
      <c r="F118" s="42" t="s">
        <v>9</v>
      </c>
    </row>
    <row r="119" spans="1:6" x14ac:dyDescent="0.25">
      <c r="A119" s="5">
        <v>1</v>
      </c>
      <c r="B119" s="5">
        <v>4</v>
      </c>
      <c r="C119" s="53" t="s">
        <v>109</v>
      </c>
      <c r="D119" s="5" t="s">
        <v>35</v>
      </c>
      <c r="E119" s="54">
        <f>SUM(E120:E124)</f>
        <v>22400000</v>
      </c>
      <c r="F119" s="5" t="s">
        <v>156</v>
      </c>
    </row>
    <row r="120" spans="1:6" x14ac:dyDescent="0.25">
      <c r="A120" s="46"/>
      <c r="B120" s="46"/>
      <c r="C120" s="46"/>
      <c r="D120" s="42" t="s">
        <v>157</v>
      </c>
      <c r="E120" s="50">
        <v>20400000</v>
      </c>
      <c r="F120" s="42" t="s">
        <v>0</v>
      </c>
    </row>
    <row r="121" spans="1:6" hidden="1" x14ac:dyDescent="0.25">
      <c r="A121" s="46"/>
      <c r="B121" s="46"/>
      <c r="C121" s="46"/>
      <c r="D121" s="52" t="s">
        <v>158</v>
      </c>
      <c r="E121" s="50">
        <v>0</v>
      </c>
      <c r="F121" s="42" t="s">
        <v>6</v>
      </c>
    </row>
    <row r="122" spans="1:6" hidden="1" x14ac:dyDescent="0.25">
      <c r="A122" s="46"/>
      <c r="B122" s="46"/>
      <c r="C122" s="46"/>
      <c r="D122" s="42" t="s">
        <v>158</v>
      </c>
      <c r="E122" s="50">
        <v>0</v>
      </c>
      <c r="F122" s="42" t="s">
        <v>1</v>
      </c>
    </row>
    <row r="123" spans="1:6" x14ac:dyDescent="0.25">
      <c r="A123" s="46"/>
      <c r="B123" s="46"/>
      <c r="C123" s="46"/>
      <c r="D123" s="42" t="s">
        <v>128</v>
      </c>
      <c r="E123" s="50">
        <v>2000000</v>
      </c>
      <c r="F123" s="42" t="s">
        <v>2</v>
      </c>
    </row>
    <row r="124" spans="1:6" hidden="1" x14ac:dyDescent="0.25">
      <c r="A124" s="46"/>
      <c r="B124" s="46"/>
      <c r="C124" s="46"/>
      <c r="D124" s="42" t="s">
        <v>149</v>
      </c>
      <c r="E124" s="50">
        <v>0</v>
      </c>
      <c r="F124" s="42" t="s">
        <v>1</v>
      </c>
    </row>
    <row r="125" spans="1:6" ht="30" x14ac:dyDescent="0.25">
      <c r="A125" s="3">
        <v>1</v>
      </c>
      <c r="B125" s="3">
        <v>4</v>
      </c>
      <c r="C125" s="34" t="s">
        <v>159</v>
      </c>
      <c r="D125" s="2" t="s">
        <v>36</v>
      </c>
      <c r="E125" s="35">
        <f>SUM(E126:E127)</f>
        <v>2000000</v>
      </c>
      <c r="F125" s="3" t="s">
        <v>1</v>
      </c>
    </row>
    <row r="126" spans="1:6" x14ac:dyDescent="0.25">
      <c r="A126" s="46"/>
      <c r="B126" s="46"/>
      <c r="C126" s="46"/>
      <c r="D126" s="42" t="s">
        <v>128</v>
      </c>
      <c r="E126" s="50">
        <v>1000000</v>
      </c>
      <c r="F126" s="76"/>
    </row>
    <row r="127" spans="1:6" x14ac:dyDescent="0.25">
      <c r="A127" s="46"/>
      <c r="B127" s="46"/>
      <c r="C127" s="46"/>
      <c r="D127" s="42" t="s">
        <v>152</v>
      </c>
      <c r="E127" s="50">
        <v>1000000</v>
      </c>
      <c r="F127" s="76"/>
    </row>
    <row r="128" spans="1:6" x14ac:dyDescent="0.25">
      <c r="A128" s="5">
        <v>1</v>
      </c>
      <c r="B128" s="5">
        <v>4</v>
      </c>
      <c r="C128" s="53" t="s">
        <v>160</v>
      </c>
      <c r="D128" s="5" t="s">
        <v>37</v>
      </c>
      <c r="E128" s="54">
        <f>SUM(E129:E131)</f>
        <v>6600000</v>
      </c>
      <c r="F128" s="5" t="s">
        <v>0</v>
      </c>
    </row>
    <row r="129" spans="1:6" x14ac:dyDescent="0.25">
      <c r="A129" s="46"/>
      <c r="B129" s="46"/>
      <c r="C129" s="46"/>
      <c r="D129" s="46" t="s">
        <v>161</v>
      </c>
      <c r="E129" s="50">
        <v>6600000</v>
      </c>
      <c r="F129" s="46" t="s">
        <v>0</v>
      </c>
    </row>
    <row r="130" spans="1:6" hidden="1" x14ac:dyDescent="0.25">
      <c r="A130" s="46"/>
      <c r="B130" s="46"/>
      <c r="C130" s="46"/>
      <c r="D130" s="77" t="s">
        <v>162</v>
      </c>
      <c r="E130" s="49">
        <v>0</v>
      </c>
      <c r="F130" s="77"/>
    </row>
    <row r="131" spans="1:6" hidden="1" x14ac:dyDescent="0.25">
      <c r="A131" s="46"/>
      <c r="B131" s="46"/>
      <c r="C131" s="46"/>
      <c r="D131" s="46" t="s">
        <v>129</v>
      </c>
      <c r="E131" s="75">
        <v>0</v>
      </c>
      <c r="F131" s="46" t="s">
        <v>6</v>
      </c>
    </row>
    <row r="132" spans="1:6" ht="37.5" hidden="1" customHeight="1" x14ac:dyDescent="0.25">
      <c r="A132" s="3">
        <v>1</v>
      </c>
      <c r="B132" s="3">
        <v>4</v>
      </c>
      <c r="C132" s="34" t="s">
        <v>163</v>
      </c>
      <c r="D132" s="78" t="s">
        <v>164</v>
      </c>
      <c r="E132" s="35">
        <f>E133</f>
        <v>0</v>
      </c>
      <c r="F132" s="3"/>
    </row>
    <row r="133" spans="1:6" hidden="1" x14ac:dyDescent="0.25">
      <c r="A133" s="46"/>
      <c r="B133" s="46"/>
      <c r="C133" s="46"/>
      <c r="D133" s="46" t="s">
        <v>165</v>
      </c>
      <c r="E133" s="75"/>
      <c r="F133" s="46"/>
    </row>
    <row r="134" spans="1:6" hidden="1" x14ac:dyDescent="0.25">
      <c r="A134" s="46"/>
      <c r="B134" s="46"/>
      <c r="C134" s="46"/>
      <c r="D134" s="46"/>
      <c r="E134" s="75"/>
      <c r="F134" s="46"/>
    </row>
    <row r="135" spans="1:6" hidden="1" x14ac:dyDescent="0.25">
      <c r="A135" s="8">
        <v>1</v>
      </c>
      <c r="B135" s="8">
        <v>5</v>
      </c>
      <c r="C135" s="8"/>
      <c r="D135" s="10" t="s">
        <v>38</v>
      </c>
      <c r="E135" s="57">
        <f>E136+E139+E141</f>
        <v>0</v>
      </c>
      <c r="F135" s="8"/>
    </row>
    <row r="136" spans="1:6" ht="29.25" hidden="1" customHeight="1" x14ac:dyDescent="0.25">
      <c r="A136" s="3">
        <v>1</v>
      </c>
      <c r="B136" s="3">
        <v>5</v>
      </c>
      <c r="C136" s="34" t="s">
        <v>98</v>
      </c>
      <c r="D136" s="2" t="s">
        <v>39</v>
      </c>
      <c r="E136" s="35">
        <f>SUM(E137:E138)</f>
        <v>0</v>
      </c>
      <c r="F136" s="3" t="s">
        <v>1</v>
      </c>
    </row>
    <row r="137" spans="1:6" hidden="1" x14ac:dyDescent="0.25">
      <c r="A137" s="46"/>
      <c r="B137" s="46"/>
      <c r="C137" s="46"/>
      <c r="D137" s="42" t="s">
        <v>144</v>
      </c>
      <c r="E137" s="50">
        <v>0</v>
      </c>
      <c r="F137" s="42"/>
    </row>
    <row r="138" spans="1:6" hidden="1" x14ac:dyDescent="0.25">
      <c r="A138" s="46"/>
      <c r="B138" s="46"/>
      <c r="C138" s="46"/>
      <c r="D138" s="42" t="s">
        <v>166</v>
      </c>
      <c r="E138" s="50">
        <v>0</v>
      </c>
      <c r="F138" s="42"/>
    </row>
    <row r="139" spans="1:6" hidden="1" x14ac:dyDescent="0.25">
      <c r="A139" s="5">
        <v>1</v>
      </c>
      <c r="B139" s="5">
        <v>5</v>
      </c>
      <c r="C139" s="53" t="s">
        <v>125</v>
      </c>
      <c r="D139" s="79" t="s">
        <v>40</v>
      </c>
      <c r="E139" s="64">
        <f>E140</f>
        <v>0</v>
      </c>
      <c r="F139" s="63" t="s">
        <v>1</v>
      </c>
    </row>
    <row r="140" spans="1:6" hidden="1" x14ac:dyDescent="0.25">
      <c r="A140" s="5"/>
      <c r="B140" s="5"/>
      <c r="C140" s="53"/>
      <c r="D140" s="80" t="s">
        <v>167</v>
      </c>
      <c r="E140" s="50">
        <v>0</v>
      </c>
      <c r="F140" s="42"/>
    </row>
    <row r="141" spans="1:6" hidden="1" x14ac:dyDescent="0.25">
      <c r="A141" s="3">
        <v>1</v>
      </c>
      <c r="B141" s="81">
        <v>5</v>
      </c>
      <c r="C141" s="82" t="s">
        <v>159</v>
      </c>
      <c r="D141" s="83" t="s">
        <v>168</v>
      </c>
      <c r="E141" s="84">
        <f>E142</f>
        <v>0</v>
      </c>
      <c r="F141" s="81" t="s">
        <v>169</v>
      </c>
    </row>
    <row r="142" spans="1:6" hidden="1" x14ac:dyDescent="0.25">
      <c r="A142" s="46"/>
      <c r="B142" s="85"/>
      <c r="C142" s="85"/>
      <c r="D142" s="86" t="s">
        <v>170</v>
      </c>
      <c r="E142" s="87">
        <v>0</v>
      </c>
      <c r="F142" s="85"/>
    </row>
    <row r="143" spans="1:6" x14ac:dyDescent="0.25">
      <c r="A143" s="11">
        <v>2</v>
      </c>
      <c r="B143" s="11"/>
      <c r="C143" s="11"/>
      <c r="D143" s="11" t="s">
        <v>41</v>
      </c>
      <c r="E143" s="88">
        <f>E144+E186+E240+E263+E294+E301+E314+E315</f>
        <v>628800000</v>
      </c>
      <c r="F143" s="11"/>
    </row>
    <row r="144" spans="1:6" x14ac:dyDescent="0.25">
      <c r="A144" s="8">
        <v>2</v>
      </c>
      <c r="B144" s="8">
        <v>1</v>
      </c>
      <c r="C144" s="8"/>
      <c r="D144" s="10" t="s">
        <v>42</v>
      </c>
      <c r="E144" s="57">
        <f>E145+E153+E155+E157+E162+E169+E172+E179+E184</f>
        <v>96600000</v>
      </c>
      <c r="F144" s="8"/>
    </row>
    <row r="145" spans="1:6" ht="36" customHeight="1" x14ac:dyDescent="0.25">
      <c r="A145" s="3">
        <v>2</v>
      </c>
      <c r="B145" s="3">
        <v>1</v>
      </c>
      <c r="C145" s="34" t="s">
        <v>85</v>
      </c>
      <c r="D145" s="2" t="s">
        <v>43</v>
      </c>
      <c r="E145" s="35">
        <f>SUM(E146:E149)</f>
        <v>32400000</v>
      </c>
      <c r="F145" s="2" t="s">
        <v>3</v>
      </c>
    </row>
    <row r="146" spans="1:6" x14ac:dyDescent="0.25">
      <c r="A146" s="46"/>
      <c r="B146" s="46"/>
      <c r="C146" s="46"/>
      <c r="D146" s="42" t="s">
        <v>171</v>
      </c>
      <c r="E146" s="50">
        <v>18000000</v>
      </c>
      <c r="F146" s="42" t="s">
        <v>3</v>
      </c>
    </row>
    <row r="147" spans="1:6" x14ac:dyDescent="0.25">
      <c r="A147" s="46"/>
      <c r="B147" s="46"/>
      <c r="C147" s="46"/>
      <c r="D147" s="42" t="s">
        <v>435</v>
      </c>
      <c r="E147" s="50">
        <v>12000000</v>
      </c>
      <c r="F147" s="42" t="s">
        <v>3</v>
      </c>
    </row>
    <row r="148" spans="1:6" x14ac:dyDescent="0.25">
      <c r="A148" s="46"/>
      <c r="B148" s="46"/>
      <c r="C148" s="46"/>
      <c r="D148" s="42" t="s">
        <v>173</v>
      </c>
      <c r="E148" s="50">
        <v>1200000</v>
      </c>
      <c r="F148" s="42" t="s">
        <v>3</v>
      </c>
    </row>
    <row r="149" spans="1:6" x14ac:dyDescent="0.25">
      <c r="A149" s="46"/>
      <c r="B149" s="46"/>
      <c r="C149" s="46"/>
      <c r="D149" s="42" t="s">
        <v>174</v>
      </c>
      <c r="E149" s="50">
        <v>1200000</v>
      </c>
      <c r="F149" s="42" t="s">
        <v>3</v>
      </c>
    </row>
    <row r="150" spans="1:6" hidden="1" x14ac:dyDescent="0.25">
      <c r="A150" s="5">
        <v>2</v>
      </c>
      <c r="B150" s="5">
        <v>1</v>
      </c>
      <c r="C150" s="53" t="s">
        <v>89</v>
      </c>
      <c r="D150" s="5" t="s">
        <v>175</v>
      </c>
      <c r="E150" s="54"/>
      <c r="F150" s="5"/>
    </row>
    <row r="151" spans="1:6" hidden="1" x14ac:dyDescent="0.25">
      <c r="A151" s="5"/>
      <c r="B151" s="5"/>
      <c r="C151" s="53"/>
      <c r="D151" s="5"/>
      <c r="E151" s="54"/>
      <c r="F151" s="5"/>
    </row>
    <row r="152" spans="1:6" hidden="1" x14ac:dyDescent="0.25">
      <c r="A152" s="5"/>
      <c r="B152" s="5"/>
      <c r="C152" s="53"/>
      <c r="D152" s="5"/>
      <c r="E152" s="54"/>
      <c r="F152" s="5"/>
    </row>
    <row r="153" spans="1:6" hidden="1" x14ac:dyDescent="0.25">
      <c r="A153" s="89">
        <v>2</v>
      </c>
      <c r="B153" s="89">
        <v>1</v>
      </c>
      <c r="C153" s="90" t="s">
        <v>98</v>
      </c>
      <c r="D153" s="89" t="s">
        <v>176</v>
      </c>
      <c r="E153" s="91">
        <f>E154</f>
        <v>0</v>
      </c>
      <c r="F153" s="5" t="s">
        <v>3</v>
      </c>
    </row>
    <row r="154" spans="1:6" hidden="1" x14ac:dyDescent="0.25">
      <c r="A154" s="89"/>
      <c r="B154" s="89"/>
      <c r="C154" s="90"/>
      <c r="D154" s="48" t="s">
        <v>177</v>
      </c>
      <c r="E154" s="49">
        <v>0</v>
      </c>
      <c r="F154" s="5"/>
    </row>
    <row r="155" spans="1:6" ht="29.25" customHeight="1" x14ac:dyDescent="0.25">
      <c r="A155" s="3">
        <v>2</v>
      </c>
      <c r="B155" s="3">
        <v>1</v>
      </c>
      <c r="C155" s="34" t="s">
        <v>109</v>
      </c>
      <c r="D155" s="2" t="s">
        <v>44</v>
      </c>
      <c r="E155" s="35">
        <f>E156</f>
        <v>2000000</v>
      </c>
      <c r="F155" s="3" t="s">
        <v>1</v>
      </c>
    </row>
    <row r="156" spans="1:6" ht="18.75" customHeight="1" x14ac:dyDescent="0.25">
      <c r="A156" s="5"/>
      <c r="B156" s="5"/>
      <c r="C156" s="53"/>
      <c r="D156" s="71" t="s">
        <v>178</v>
      </c>
      <c r="E156" s="50">
        <v>2000000</v>
      </c>
      <c r="F156" s="92"/>
    </row>
    <row r="157" spans="1:6" ht="30" x14ac:dyDescent="0.25">
      <c r="A157" s="3">
        <v>2</v>
      </c>
      <c r="B157" s="3">
        <v>1</v>
      </c>
      <c r="C157" s="34" t="s">
        <v>122</v>
      </c>
      <c r="D157" s="2" t="s">
        <v>45</v>
      </c>
      <c r="E157" s="35">
        <f>E158+E159</f>
        <v>3000000</v>
      </c>
      <c r="F157" s="3" t="s">
        <v>9</v>
      </c>
    </row>
    <row r="158" spans="1:6" x14ac:dyDescent="0.25">
      <c r="A158" s="3"/>
      <c r="B158" s="3"/>
      <c r="C158" s="34"/>
      <c r="D158" s="43" t="s">
        <v>179</v>
      </c>
      <c r="E158" s="37">
        <v>1000000</v>
      </c>
      <c r="F158" s="36" t="s">
        <v>9</v>
      </c>
    </row>
    <row r="159" spans="1:6" x14ac:dyDescent="0.25">
      <c r="A159" s="3"/>
      <c r="B159" s="3"/>
      <c r="C159" s="34"/>
      <c r="D159" s="43" t="s">
        <v>179</v>
      </c>
      <c r="E159" s="37">
        <v>2000000</v>
      </c>
      <c r="F159" s="36" t="s">
        <v>433</v>
      </c>
    </row>
    <row r="160" spans="1:6" hidden="1" x14ac:dyDescent="0.25">
      <c r="A160" s="3"/>
      <c r="B160" s="3"/>
      <c r="C160" s="34"/>
      <c r="D160" s="43" t="s">
        <v>180</v>
      </c>
      <c r="E160" s="37">
        <v>0</v>
      </c>
      <c r="F160" s="36"/>
    </row>
    <row r="161" spans="1:6" hidden="1" x14ac:dyDescent="0.25">
      <c r="A161" s="3"/>
      <c r="B161" s="3"/>
      <c r="C161" s="34"/>
      <c r="D161" s="43" t="s">
        <v>181</v>
      </c>
      <c r="E161" s="37">
        <v>0</v>
      </c>
      <c r="F161" s="36"/>
    </row>
    <row r="162" spans="1:6" s="185" customFormat="1" ht="45" x14ac:dyDescent="0.25">
      <c r="A162" s="3">
        <v>2</v>
      </c>
      <c r="B162" s="3">
        <v>1</v>
      </c>
      <c r="C162" s="34" t="s">
        <v>125</v>
      </c>
      <c r="D162" s="2" t="s">
        <v>182</v>
      </c>
      <c r="E162" s="35">
        <f>SUM(E163:E168)</f>
        <v>6000000</v>
      </c>
      <c r="F162" s="3" t="s">
        <v>3</v>
      </c>
    </row>
    <row r="163" spans="1:6" x14ac:dyDescent="0.25">
      <c r="A163" s="3"/>
      <c r="B163" s="3"/>
      <c r="C163" s="34"/>
      <c r="D163" s="43" t="s">
        <v>183</v>
      </c>
      <c r="E163" s="40">
        <v>0</v>
      </c>
      <c r="F163" s="36"/>
    </row>
    <row r="164" spans="1:6" x14ac:dyDescent="0.25">
      <c r="A164" s="3"/>
      <c r="B164" s="3"/>
      <c r="C164" s="34"/>
      <c r="D164" s="43" t="s">
        <v>184</v>
      </c>
      <c r="E164" s="40">
        <v>0</v>
      </c>
      <c r="F164" s="36"/>
    </row>
    <row r="165" spans="1:6" hidden="1" x14ac:dyDescent="0.25">
      <c r="A165" s="3"/>
      <c r="B165" s="3"/>
      <c r="C165" s="34"/>
      <c r="D165" s="43" t="s">
        <v>185</v>
      </c>
      <c r="E165" s="37"/>
      <c r="F165" s="36"/>
    </row>
    <row r="166" spans="1:6" hidden="1" x14ac:dyDescent="0.25">
      <c r="A166" s="3"/>
      <c r="B166" s="3"/>
      <c r="C166" s="34"/>
      <c r="D166" s="43" t="s">
        <v>186</v>
      </c>
      <c r="E166" s="37"/>
      <c r="F166" s="36"/>
    </row>
    <row r="167" spans="1:6" hidden="1" x14ac:dyDescent="0.25">
      <c r="A167" s="3"/>
      <c r="B167" s="3"/>
      <c r="C167" s="34"/>
      <c r="D167" s="43" t="s">
        <v>187</v>
      </c>
      <c r="E167" s="37"/>
      <c r="F167" s="36"/>
    </row>
    <row r="168" spans="1:6" x14ac:dyDescent="0.25">
      <c r="A168" s="3"/>
      <c r="B168" s="3"/>
      <c r="C168" s="34"/>
      <c r="D168" s="43" t="s">
        <v>408</v>
      </c>
      <c r="E168" s="40">
        <v>6000000</v>
      </c>
      <c r="F168" s="76"/>
    </row>
    <row r="169" spans="1:6" s="185" customFormat="1" ht="30" hidden="1" x14ac:dyDescent="0.25">
      <c r="A169" s="3">
        <v>2</v>
      </c>
      <c r="B169" s="3">
        <v>1</v>
      </c>
      <c r="C169" s="34" t="s">
        <v>159</v>
      </c>
      <c r="D169" s="2" t="s">
        <v>188</v>
      </c>
      <c r="E169" s="35">
        <f>SUM(E170:E171)</f>
        <v>0</v>
      </c>
      <c r="F169" s="3" t="s">
        <v>3</v>
      </c>
    </row>
    <row r="170" spans="1:6" hidden="1" x14ac:dyDescent="0.25">
      <c r="A170" s="3"/>
      <c r="B170" s="3"/>
      <c r="C170" s="34"/>
      <c r="D170" s="43" t="s">
        <v>189</v>
      </c>
      <c r="E170" s="37">
        <v>0</v>
      </c>
      <c r="F170" s="3"/>
    </row>
    <row r="171" spans="1:6" hidden="1" x14ac:dyDescent="0.25">
      <c r="A171" s="3"/>
      <c r="B171" s="3"/>
      <c r="C171" s="34"/>
      <c r="D171" s="43" t="s">
        <v>190</v>
      </c>
      <c r="E171" s="37">
        <v>0</v>
      </c>
      <c r="F171" s="3"/>
    </row>
    <row r="172" spans="1:6" x14ac:dyDescent="0.25">
      <c r="A172" s="5">
        <v>2</v>
      </c>
      <c r="B172" s="5">
        <v>1</v>
      </c>
      <c r="C172" s="53" t="s">
        <v>160</v>
      </c>
      <c r="D172" s="12" t="s">
        <v>46</v>
      </c>
      <c r="E172" s="54">
        <f>SUM(E173:E178)</f>
        <v>37300000</v>
      </c>
      <c r="F172" s="5" t="s">
        <v>3</v>
      </c>
    </row>
    <row r="173" spans="1:6" x14ac:dyDescent="0.25">
      <c r="A173" s="5"/>
      <c r="B173" s="5"/>
      <c r="C173" s="53"/>
      <c r="D173" s="71" t="s">
        <v>191</v>
      </c>
      <c r="E173" s="50">
        <v>28800000</v>
      </c>
      <c r="F173" s="5"/>
    </row>
    <row r="174" spans="1:6" hidden="1" x14ac:dyDescent="0.25">
      <c r="A174" s="5"/>
      <c r="B174" s="5"/>
      <c r="C174" s="53"/>
      <c r="D174" s="71" t="s">
        <v>192</v>
      </c>
      <c r="E174" s="50">
        <v>0</v>
      </c>
      <c r="F174" s="5"/>
    </row>
    <row r="175" spans="1:6" x14ac:dyDescent="0.25">
      <c r="A175" s="5"/>
      <c r="B175" s="5"/>
      <c r="C175" s="53"/>
      <c r="D175" s="71" t="s">
        <v>149</v>
      </c>
      <c r="E175" s="50">
        <v>2000000</v>
      </c>
      <c r="F175" s="5"/>
    </row>
    <row r="176" spans="1:6" ht="12.75" customHeight="1" x14ac:dyDescent="0.25">
      <c r="A176" s="5"/>
      <c r="B176" s="5"/>
      <c r="C176" s="53"/>
      <c r="D176" s="71" t="s">
        <v>193</v>
      </c>
      <c r="E176" s="50">
        <v>500000</v>
      </c>
      <c r="F176" s="5"/>
    </row>
    <row r="177" spans="1:6" ht="12.75" customHeight="1" x14ac:dyDescent="0.25">
      <c r="A177" s="5"/>
      <c r="B177" s="5"/>
      <c r="C177" s="53"/>
      <c r="D177" s="71" t="s">
        <v>194</v>
      </c>
      <c r="E177" s="50">
        <v>3000000</v>
      </c>
      <c r="F177" s="42" t="s">
        <v>3</v>
      </c>
    </row>
    <row r="178" spans="1:6" x14ac:dyDescent="0.25">
      <c r="A178" s="5"/>
      <c r="B178" s="5"/>
      <c r="C178" s="53"/>
      <c r="D178" s="71" t="s">
        <v>195</v>
      </c>
      <c r="E178" s="50">
        <v>3000000</v>
      </c>
      <c r="F178" s="5"/>
    </row>
    <row r="179" spans="1:6" x14ac:dyDescent="0.25">
      <c r="A179" s="5">
        <v>2</v>
      </c>
      <c r="B179" s="5">
        <v>1</v>
      </c>
      <c r="C179" s="53" t="s">
        <v>196</v>
      </c>
      <c r="D179" s="12" t="s">
        <v>197</v>
      </c>
      <c r="E179" s="54">
        <f>SUM(E180:E182)</f>
        <v>5900000</v>
      </c>
      <c r="F179" s="5" t="s">
        <v>3</v>
      </c>
    </row>
    <row r="180" spans="1:6" x14ac:dyDescent="0.25">
      <c r="A180" s="5"/>
      <c r="B180" s="5"/>
      <c r="C180" s="53"/>
      <c r="D180" s="71" t="s">
        <v>417</v>
      </c>
      <c r="E180" s="51">
        <v>3000000</v>
      </c>
      <c r="F180" s="42"/>
    </row>
    <row r="181" spans="1:6" x14ac:dyDescent="0.25">
      <c r="A181" s="5"/>
      <c r="B181" s="5"/>
      <c r="C181" s="53"/>
      <c r="D181" s="71" t="s">
        <v>418</v>
      </c>
      <c r="E181" s="51">
        <v>2000000</v>
      </c>
      <c r="F181" s="42"/>
    </row>
    <row r="182" spans="1:6" x14ac:dyDescent="0.25">
      <c r="A182" s="5"/>
      <c r="B182" s="5"/>
      <c r="C182" s="53"/>
      <c r="D182" s="71" t="s">
        <v>419</v>
      </c>
      <c r="E182" s="51">
        <v>900000</v>
      </c>
      <c r="F182" s="42"/>
    </row>
    <row r="183" spans="1:6" hidden="1" x14ac:dyDescent="0.25">
      <c r="A183" s="5"/>
      <c r="B183" s="5"/>
      <c r="C183" s="53"/>
      <c r="D183" s="71" t="s">
        <v>198</v>
      </c>
      <c r="E183" s="50">
        <v>0</v>
      </c>
      <c r="F183" s="5"/>
    </row>
    <row r="184" spans="1:6" x14ac:dyDescent="0.25">
      <c r="A184" s="5">
        <v>2</v>
      </c>
      <c r="B184" s="5">
        <v>1</v>
      </c>
      <c r="C184" s="53" t="s">
        <v>199</v>
      </c>
      <c r="D184" s="12" t="s">
        <v>200</v>
      </c>
      <c r="E184" s="54">
        <f>E185</f>
        <v>10000000</v>
      </c>
      <c r="F184" s="5" t="s">
        <v>3</v>
      </c>
    </row>
    <row r="185" spans="1:6" x14ac:dyDescent="0.25">
      <c r="A185" s="5"/>
      <c r="B185" s="5"/>
      <c r="C185" s="53"/>
      <c r="D185" s="71" t="s">
        <v>201</v>
      </c>
      <c r="E185" s="50">
        <v>10000000</v>
      </c>
      <c r="F185" s="42" t="s">
        <v>432</v>
      </c>
    </row>
    <row r="186" spans="1:6" x14ac:dyDescent="0.25">
      <c r="A186" s="8">
        <v>2</v>
      </c>
      <c r="B186" s="8">
        <v>2</v>
      </c>
      <c r="C186" s="8"/>
      <c r="D186" s="6" t="s">
        <v>47</v>
      </c>
      <c r="E186" s="57">
        <f>E187+E191+E198+E201+E231+E233+E235</f>
        <v>202600000</v>
      </c>
      <c r="F186" s="8" t="s">
        <v>3</v>
      </c>
    </row>
    <row r="187" spans="1:6" hidden="1" x14ac:dyDescent="0.25">
      <c r="A187" s="5">
        <v>2</v>
      </c>
      <c r="B187" s="5">
        <v>2</v>
      </c>
      <c r="C187" s="53" t="s">
        <v>85</v>
      </c>
      <c r="D187" s="12" t="s">
        <v>202</v>
      </c>
      <c r="E187" s="54">
        <f>SUM(E188:E190)</f>
        <v>0</v>
      </c>
      <c r="F187" s="5" t="s">
        <v>3</v>
      </c>
    </row>
    <row r="188" spans="1:6" hidden="1" x14ac:dyDescent="0.25">
      <c r="A188" s="46"/>
      <c r="B188" s="46"/>
      <c r="C188" s="46"/>
      <c r="D188" s="71" t="s">
        <v>203</v>
      </c>
      <c r="E188" s="51">
        <v>0</v>
      </c>
      <c r="F188" s="42"/>
    </row>
    <row r="189" spans="1:6" hidden="1" x14ac:dyDescent="0.25">
      <c r="A189" s="46"/>
      <c r="B189" s="46"/>
      <c r="C189" s="46"/>
      <c r="D189" s="71" t="s">
        <v>204</v>
      </c>
      <c r="E189" s="51">
        <v>0</v>
      </c>
      <c r="F189" s="42"/>
    </row>
    <row r="190" spans="1:6" hidden="1" x14ac:dyDescent="0.25">
      <c r="A190" s="46"/>
      <c r="B190" s="46"/>
      <c r="C190" s="46"/>
      <c r="D190" s="71" t="s">
        <v>205</v>
      </c>
      <c r="E190" s="50">
        <v>0</v>
      </c>
      <c r="F190" s="42"/>
    </row>
    <row r="191" spans="1:6" x14ac:dyDescent="0.25">
      <c r="A191" s="5">
        <v>2</v>
      </c>
      <c r="B191" s="5">
        <v>2</v>
      </c>
      <c r="C191" s="53" t="s">
        <v>89</v>
      </c>
      <c r="D191" s="12" t="s">
        <v>48</v>
      </c>
      <c r="E191" s="54">
        <f>SUM(E192:E197)</f>
        <v>147600000</v>
      </c>
      <c r="F191" s="5" t="s">
        <v>3</v>
      </c>
    </row>
    <row r="192" spans="1:6" x14ac:dyDescent="0.25">
      <c r="A192" s="46"/>
      <c r="B192" s="46"/>
      <c r="C192" s="46"/>
      <c r="D192" s="71" t="s">
        <v>206</v>
      </c>
      <c r="E192" s="50">
        <v>40000000</v>
      </c>
      <c r="F192" s="42" t="s">
        <v>3</v>
      </c>
    </row>
    <row r="193" spans="1:8" x14ac:dyDescent="0.25">
      <c r="A193" s="46"/>
      <c r="B193" s="46"/>
      <c r="C193" s="46"/>
      <c r="D193" s="71" t="s">
        <v>402</v>
      </c>
      <c r="E193" s="50">
        <v>36000000</v>
      </c>
      <c r="F193" s="42" t="s">
        <v>3</v>
      </c>
      <c r="H193">
        <f>200000*15*12</f>
        <v>36000000</v>
      </c>
    </row>
    <row r="194" spans="1:8" hidden="1" x14ac:dyDescent="0.25">
      <c r="A194" s="97"/>
      <c r="B194" s="97"/>
      <c r="C194" s="97"/>
      <c r="D194" s="43" t="s">
        <v>207</v>
      </c>
      <c r="E194" s="37">
        <v>0</v>
      </c>
      <c r="F194" s="36" t="s">
        <v>3</v>
      </c>
    </row>
    <row r="195" spans="1:8" x14ac:dyDescent="0.25">
      <c r="A195" s="46"/>
      <c r="B195" s="46"/>
      <c r="C195" s="46"/>
      <c r="D195" s="98" t="s">
        <v>209</v>
      </c>
      <c r="E195" s="50">
        <v>2000000</v>
      </c>
      <c r="F195" s="42"/>
    </row>
    <row r="196" spans="1:8" x14ac:dyDescent="0.25">
      <c r="A196" s="46"/>
      <c r="B196" s="46"/>
      <c r="C196" s="46"/>
      <c r="D196" s="98" t="s">
        <v>210</v>
      </c>
      <c r="E196" s="50">
        <v>9600000</v>
      </c>
      <c r="F196" s="42" t="s">
        <v>3</v>
      </c>
    </row>
    <row r="197" spans="1:8" ht="16.5" customHeight="1" x14ac:dyDescent="0.25">
      <c r="A197" s="46"/>
      <c r="B197" s="46"/>
      <c r="C197" s="46"/>
      <c r="D197" s="71" t="s">
        <v>211</v>
      </c>
      <c r="E197" s="50">
        <v>60000000</v>
      </c>
      <c r="F197" s="42" t="s">
        <v>3</v>
      </c>
    </row>
    <row r="198" spans="1:8" x14ac:dyDescent="0.25">
      <c r="A198" s="5">
        <v>2</v>
      </c>
      <c r="B198" s="5">
        <v>2</v>
      </c>
      <c r="C198" s="53" t="s">
        <v>98</v>
      </c>
      <c r="D198" s="12" t="s">
        <v>49</v>
      </c>
      <c r="E198" s="54">
        <f>SUM(E199:E200)</f>
        <v>4000000</v>
      </c>
      <c r="F198" s="5" t="s">
        <v>3</v>
      </c>
    </row>
    <row r="199" spans="1:8" x14ac:dyDescent="0.25">
      <c r="A199" s="5"/>
      <c r="B199" s="5"/>
      <c r="C199" s="53"/>
      <c r="D199" s="71" t="s">
        <v>212</v>
      </c>
      <c r="E199" s="50">
        <v>2000000</v>
      </c>
      <c r="F199" s="42"/>
    </row>
    <row r="200" spans="1:8" x14ac:dyDescent="0.25">
      <c r="A200" s="5"/>
      <c r="B200" s="5"/>
      <c r="C200" s="53"/>
      <c r="D200" s="71" t="s">
        <v>213</v>
      </c>
      <c r="E200" s="50">
        <v>2000000</v>
      </c>
      <c r="F200" s="42"/>
    </row>
    <row r="201" spans="1:8" hidden="1" x14ac:dyDescent="0.25">
      <c r="A201" s="5">
        <v>2</v>
      </c>
      <c r="B201" s="5">
        <v>2</v>
      </c>
      <c r="C201" s="53" t="s">
        <v>109</v>
      </c>
      <c r="D201" s="12" t="s">
        <v>50</v>
      </c>
      <c r="E201" s="54">
        <f>E202+E206+E210+E211+E212+E213+E214+E219+E222+E226+E227+E228</f>
        <v>0</v>
      </c>
      <c r="F201" s="5" t="s">
        <v>3</v>
      </c>
    </row>
    <row r="202" spans="1:8" ht="30" hidden="1" x14ac:dyDescent="0.25">
      <c r="A202" s="5"/>
      <c r="B202" s="3"/>
      <c r="C202" s="34"/>
      <c r="D202" s="99" t="s">
        <v>214</v>
      </c>
      <c r="E202" s="100"/>
      <c r="F202" s="76" t="s">
        <v>3</v>
      </c>
    </row>
    <row r="203" spans="1:8" hidden="1" x14ac:dyDescent="0.25">
      <c r="A203" s="5"/>
      <c r="B203" s="3"/>
      <c r="C203" s="34"/>
      <c r="D203" s="101" t="s">
        <v>215</v>
      </c>
      <c r="E203" s="37"/>
      <c r="F203" s="36" t="s">
        <v>3</v>
      </c>
    </row>
    <row r="204" spans="1:8" hidden="1" x14ac:dyDescent="0.25">
      <c r="A204" s="5"/>
      <c r="B204" s="3"/>
      <c r="C204" s="34"/>
      <c r="D204" s="101" t="s">
        <v>216</v>
      </c>
      <c r="E204" s="37"/>
      <c r="F204" s="36" t="s">
        <v>3</v>
      </c>
    </row>
    <row r="205" spans="1:8" hidden="1" x14ac:dyDescent="0.25">
      <c r="A205" s="5"/>
      <c r="B205" s="3"/>
      <c r="C205" s="34"/>
      <c r="D205" s="101" t="s">
        <v>217</v>
      </c>
      <c r="E205" s="37">
        <v>0</v>
      </c>
      <c r="F205" s="36" t="s">
        <v>3</v>
      </c>
    </row>
    <row r="206" spans="1:8" hidden="1" x14ac:dyDescent="0.25">
      <c r="A206" s="5"/>
      <c r="B206" s="3"/>
      <c r="C206" s="34"/>
      <c r="D206" s="102" t="s">
        <v>218</v>
      </c>
      <c r="E206" s="100"/>
      <c r="F206" s="76" t="s">
        <v>3</v>
      </c>
    </row>
    <row r="207" spans="1:8" hidden="1" x14ac:dyDescent="0.25">
      <c r="A207" s="5"/>
      <c r="B207" s="3"/>
      <c r="C207" s="34"/>
      <c r="D207" s="101" t="s">
        <v>219</v>
      </c>
      <c r="E207" s="37"/>
      <c r="F207" s="36" t="s">
        <v>3</v>
      </c>
    </row>
    <row r="208" spans="1:8" hidden="1" x14ac:dyDescent="0.25">
      <c r="A208" s="5"/>
      <c r="B208" s="3"/>
      <c r="C208" s="34"/>
      <c r="D208" s="101" t="s">
        <v>220</v>
      </c>
      <c r="E208" s="37"/>
      <c r="F208" s="36" t="s">
        <v>3</v>
      </c>
    </row>
    <row r="209" spans="1:6" hidden="1" x14ac:dyDescent="0.25">
      <c r="A209" s="5"/>
      <c r="B209" s="3"/>
      <c r="C209" s="34"/>
      <c r="D209" s="101" t="s">
        <v>221</v>
      </c>
      <c r="E209" s="37"/>
      <c r="F209" s="36" t="s">
        <v>3</v>
      </c>
    </row>
    <row r="210" spans="1:6" hidden="1" x14ac:dyDescent="0.25">
      <c r="A210" s="5"/>
      <c r="B210" s="3"/>
      <c r="C210" s="34"/>
      <c r="D210" s="102" t="s">
        <v>222</v>
      </c>
      <c r="E210" s="100"/>
      <c r="F210" s="76" t="s">
        <v>3</v>
      </c>
    </row>
    <row r="211" spans="1:6" hidden="1" x14ac:dyDescent="0.25">
      <c r="A211" s="5"/>
      <c r="B211" s="3"/>
      <c r="C211" s="34"/>
      <c r="D211" s="102" t="s">
        <v>223</v>
      </c>
      <c r="E211" s="100"/>
      <c r="F211" s="76" t="s">
        <v>3</v>
      </c>
    </row>
    <row r="212" spans="1:6" hidden="1" x14ac:dyDescent="0.25">
      <c r="A212" s="5"/>
      <c r="B212" s="3"/>
      <c r="C212" s="34"/>
      <c r="D212" s="102" t="s">
        <v>224</v>
      </c>
      <c r="E212" s="100"/>
      <c r="F212" s="76" t="s">
        <v>3</v>
      </c>
    </row>
    <row r="213" spans="1:6" hidden="1" x14ac:dyDescent="0.25">
      <c r="A213" s="5"/>
      <c r="B213" s="3"/>
      <c r="C213" s="34"/>
      <c r="D213" s="102" t="s">
        <v>225</v>
      </c>
      <c r="E213" s="100"/>
      <c r="F213" s="76" t="s">
        <v>3</v>
      </c>
    </row>
    <row r="214" spans="1:6" hidden="1" x14ac:dyDescent="0.25">
      <c r="A214" s="5"/>
      <c r="B214" s="3"/>
      <c r="C214" s="34"/>
      <c r="D214" s="102" t="s">
        <v>226</v>
      </c>
      <c r="E214" s="100"/>
      <c r="F214" s="76" t="s">
        <v>3</v>
      </c>
    </row>
    <row r="215" spans="1:6" hidden="1" x14ac:dyDescent="0.25">
      <c r="A215" s="5"/>
      <c r="B215" s="3"/>
      <c r="C215" s="34"/>
      <c r="D215" s="101" t="s">
        <v>227</v>
      </c>
      <c r="E215" s="37"/>
      <c r="F215" s="36" t="s">
        <v>3</v>
      </c>
    </row>
    <row r="216" spans="1:6" hidden="1" x14ac:dyDescent="0.25">
      <c r="A216" s="5"/>
      <c r="B216" s="3"/>
      <c r="C216" s="34"/>
      <c r="D216" s="101" t="s">
        <v>228</v>
      </c>
      <c r="E216" s="37"/>
      <c r="F216" s="36" t="s">
        <v>3</v>
      </c>
    </row>
    <row r="217" spans="1:6" hidden="1" x14ac:dyDescent="0.25">
      <c r="A217" s="5"/>
      <c r="B217" s="3"/>
      <c r="C217" s="34"/>
      <c r="D217" s="101" t="s">
        <v>229</v>
      </c>
      <c r="E217" s="37"/>
      <c r="F217" s="36" t="s">
        <v>3</v>
      </c>
    </row>
    <row r="218" spans="1:6" hidden="1" x14ac:dyDescent="0.25">
      <c r="A218" s="53"/>
      <c r="B218" s="3"/>
      <c r="C218" s="34"/>
      <c r="D218" s="101" t="s">
        <v>230</v>
      </c>
      <c r="E218" s="37"/>
      <c r="F218" s="36" t="s">
        <v>3</v>
      </c>
    </row>
    <row r="219" spans="1:6" ht="30" hidden="1" x14ac:dyDescent="0.25">
      <c r="A219" s="53"/>
      <c r="B219" s="3"/>
      <c r="C219" s="34"/>
      <c r="D219" s="102" t="s">
        <v>231</v>
      </c>
      <c r="E219" s="100"/>
      <c r="F219" s="76" t="s">
        <v>3</v>
      </c>
    </row>
    <row r="220" spans="1:6" hidden="1" x14ac:dyDescent="0.25">
      <c r="A220" s="53"/>
      <c r="B220" s="3"/>
      <c r="C220" s="34"/>
      <c r="D220" s="101" t="s">
        <v>232</v>
      </c>
      <c r="E220" s="37"/>
      <c r="F220" s="36" t="s">
        <v>3</v>
      </c>
    </row>
    <row r="221" spans="1:6" hidden="1" x14ac:dyDescent="0.25">
      <c r="A221" s="53"/>
      <c r="B221" s="3"/>
      <c r="C221" s="34"/>
      <c r="D221" s="101" t="s">
        <v>233</v>
      </c>
      <c r="E221" s="37"/>
      <c r="F221" s="36" t="s">
        <v>3</v>
      </c>
    </row>
    <row r="222" spans="1:6" hidden="1" x14ac:dyDescent="0.25">
      <c r="A222" s="5"/>
      <c r="B222" s="3"/>
      <c r="C222" s="34"/>
      <c r="D222" s="99" t="s">
        <v>234</v>
      </c>
      <c r="E222" s="100"/>
      <c r="F222" s="76" t="s">
        <v>3</v>
      </c>
    </row>
    <row r="223" spans="1:6" hidden="1" x14ac:dyDescent="0.25">
      <c r="A223" s="53"/>
      <c r="B223" s="3"/>
      <c r="C223" s="34"/>
      <c r="D223" s="101" t="s">
        <v>209</v>
      </c>
      <c r="E223" s="37"/>
      <c r="F223" s="36" t="s">
        <v>3</v>
      </c>
    </row>
    <row r="224" spans="1:6" hidden="1" x14ac:dyDescent="0.25">
      <c r="A224" s="53"/>
      <c r="B224" s="3"/>
      <c r="C224" s="34"/>
      <c r="D224" s="101" t="s">
        <v>235</v>
      </c>
      <c r="E224" s="37"/>
      <c r="F224" s="36" t="s">
        <v>3</v>
      </c>
    </row>
    <row r="225" spans="1:6" hidden="1" x14ac:dyDescent="0.25">
      <c r="A225" s="5"/>
      <c r="B225" s="3"/>
      <c r="C225" s="34"/>
      <c r="D225" s="101" t="s">
        <v>236</v>
      </c>
      <c r="E225" s="37"/>
      <c r="F225" s="36" t="s">
        <v>3</v>
      </c>
    </row>
    <row r="226" spans="1:6" ht="30" hidden="1" x14ac:dyDescent="0.25">
      <c r="A226" s="5"/>
      <c r="B226" s="3"/>
      <c r="C226" s="34"/>
      <c r="D226" s="102" t="s">
        <v>237</v>
      </c>
      <c r="E226" s="100"/>
      <c r="F226" s="76" t="s">
        <v>3</v>
      </c>
    </row>
    <row r="227" spans="1:6" ht="30" hidden="1" x14ac:dyDescent="0.25">
      <c r="A227" s="5"/>
      <c r="B227" s="3"/>
      <c r="C227" s="34"/>
      <c r="D227" s="102" t="s">
        <v>238</v>
      </c>
      <c r="E227" s="100"/>
      <c r="F227" s="76" t="s">
        <v>3</v>
      </c>
    </row>
    <row r="228" spans="1:6" hidden="1" x14ac:dyDescent="0.25">
      <c r="A228" s="5"/>
      <c r="B228" s="3"/>
      <c r="C228" s="34"/>
      <c r="D228" s="99" t="s">
        <v>239</v>
      </c>
      <c r="E228" s="100">
        <f>SUM(E229:E230)</f>
        <v>0</v>
      </c>
      <c r="F228" s="76" t="s">
        <v>3</v>
      </c>
    </row>
    <row r="229" spans="1:6" hidden="1" x14ac:dyDescent="0.25">
      <c r="A229" s="5"/>
      <c r="B229" s="5"/>
      <c r="C229" s="53"/>
      <c r="D229" s="71" t="s">
        <v>212</v>
      </c>
      <c r="E229" s="50">
        <v>0</v>
      </c>
      <c r="F229" s="42" t="s">
        <v>3</v>
      </c>
    </row>
    <row r="230" spans="1:6" hidden="1" x14ac:dyDescent="0.25">
      <c r="A230" s="5"/>
      <c r="B230" s="5"/>
      <c r="C230" s="53"/>
      <c r="D230" s="71" t="s">
        <v>210</v>
      </c>
      <c r="E230" s="50">
        <v>0</v>
      </c>
      <c r="F230" s="42" t="s">
        <v>3</v>
      </c>
    </row>
    <row r="231" spans="1:6" x14ac:dyDescent="0.25">
      <c r="A231" s="5">
        <v>2</v>
      </c>
      <c r="B231" s="5">
        <v>2</v>
      </c>
      <c r="C231" s="53" t="s">
        <v>125</v>
      </c>
      <c r="D231" s="12" t="s">
        <v>51</v>
      </c>
      <c r="E231" s="54">
        <f>E232</f>
        <v>18000000</v>
      </c>
      <c r="F231" s="5" t="s">
        <v>3</v>
      </c>
    </row>
    <row r="232" spans="1:6" x14ac:dyDescent="0.25">
      <c r="A232" s="46"/>
      <c r="B232" s="46"/>
      <c r="C232" s="46"/>
      <c r="D232" s="71" t="s">
        <v>240</v>
      </c>
      <c r="E232" s="50">
        <v>18000000</v>
      </c>
      <c r="F232" s="42" t="s">
        <v>3</v>
      </c>
    </row>
    <row r="233" spans="1:6" x14ac:dyDescent="0.25">
      <c r="A233" s="5">
        <v>2</v>
      </c>
      <c r="B233" s="5">
        <v>2</v>
      </c>
      <c r="C233" s="53" t="s">
        <v>160</v>
      </c>
      <c r="D233" s="12" t="s">
        <v>241</v>
      </c>
      <c r="E233" s="54">
        <f>E234</f>
        <v>1000000</v>
      </c>
      <c r="F233" s="5" t="s">
        <v>3</v>
      </c>
    </row>
    <row r="234" spans="1:6" x14ac:dyDescent="0.25">
      <c r="A234" s="5"/>
      <c r="B234" s="5"/>
      <c r="C234" s="53"/>
      <c r="D234" s="98" t="s">
        <v>208</v>
      </c>
      <c r="E234" s="50">
        <v>1000000</v>
      </c>
      <c r="F234" s="42" t="s">
        <v>3</v>
      </c>
    </row>
    <row r="235" spans="1:6" s="185" customFormat="1" ht="30" x14ac:dyDescent="0.25">
      <c r="A235" s="3">
        <v>2</v>
      </c>
      <c r="B235" s="3">
        <v>2</v>
      </c>
      <c r="C235" s="34" t="s">
        <v>196</v>
      </c>
      <c r="D235" s="2" t="s">
        <v>242</v>
      </c>
      <c r="E235" s="35">
        <f>E236+E239</f>
        <v>32000000</v>
      </c>
      <c r="F235" s="3" t="s">
        <v>3</v>
      </c>
    </row>
    <row r="236" spans="1:6" x14ac:dyDescent="0.25">
      <c r="A236" s="3"/>
      <c r="B236" s="3"/>
      <c r="C236" s="34"/>
      <c r="D236" s="43" t="s">
        <v>243</v>
      </c>
      <c r="E236" s="37">
        <f>SUM(E237:E238)</f>
        <v>7000000</v>
      </c>
      <c r="F236" s="36" t="s">
        <v>3</v>
      </c>
    </row>
    <row r="237" spans="1:6" x14ac:dyDescent="0.25">
      <c r="A237" s="3"/>
      <c r="B237" s="3"/>
      <c r="C237" s="34"/>
      <c r="D237" s="98" t="s">
        <v>412</v>
      </c>
      <c r="E237" s="50">
        <v>5000000</v>
      </c>
      <c r="F237" s="42"/>
    </row>
    <row r="238" spans="1:6" x14ac:dyDescent="0.25">
      <c r="A238" s="3"/>
      <c r="B238" s="3"/>
      <c r="C238" s="34"/>
      <c r="D238" s="98" t="s">
        <v>411</v>
      </c>
      <c r="E238" s="50">
        <v>2000000</v>
      </c>
      <c r="F238" s="42"/>
    </row>
    <row r="239" spans="1:6" x14ac:dyDescent="0.25">
      <c r="A239" s="5"/>
      <c r="B239" s="5"/>
      <c r="C239" s="53"/>
      <c r="D239" s="43" t="s">
        <v>413</v>
      </c>
      <c r="E239" s="37">
        <v>25000000</v>
      </c>
      <c r="F239" s="42" t="s">
        <v>3</v>
      </c>
    </row>
    <row r="240" spans="1:6" x14ac:dyDescent="0.25">
      <c r="A240" s="8">
        <v>2</v>
      </c>
      <c r="B240" s="8">
        <v>3</v>
      </c>
      <c r="C240" s="8"/>
      <c r="D240" s="6" t="s">
        <v>244</v>
      </c>
      <c r="E240" s="57">
        <f>E241+E243+E244+E246+E247+E251+E253+E256+E259+E261</f>
        <v>140000000</v>
      </c>
      <c r="F240" s="8"/>
    </row>
    <row r="241" spans="1:6" s="185" customFormat="1" hidden="1" x14ac:dyDescent="0.25">
      <c r="A241" s="89">
        <v>2</v>
      </c>
      <c r="B241" s="89">
        <v>3</v>
      </c>
      <c r="C241" s="90" t="s">
        <v>85</v>
      </c>
      <c r="D241" s="17" t="s">
        <v>245</v>
      </c>
      <c r="E241" s="91">
        <f>E242</f>
        <v>0</v>
      </c>
      <c r="F241" s="89" t="s">
        <v>3</v>
      </c>
    </row>
    <row r="242" spans="1:6" ht="30" hidden="1" x14ac:dyDescent="0.25">
      <c r="A242" s="89"/>
      <c r="B242" s="89"/>
      <c r="C242" s="90"/>
      <c r="D242" s="103" t="s">
        <v>246</v>
      </c>
      <c r="E242" s="104"/>
      <c r="F242" s="105" t="s">
        <v>3</v>
      </c>
    </row>
    <row r="243" spans="1:6" hidden="1" x14ac:dyDescent="0.25">
      <c r="A243" s="5">
        <v>2</v>
      </c>
      <c r="B243" s="5">
        <v>3</v>
      </c>
      <c r="C243" s="53" t="s">
        <v>89</v>
      </c>
      <c r="D243" s="12" t="s">
        <v>247</v>
      </c>
      <c r="E243" s="54"/>
      <c r="F243" s="5"/>
    </row>
    <row r="244" spans="1:6" hidden="1" x14ac:dyDescent="0.25">
      <c r="A244" s="5">
        <v>2</v>
      </c>
      <c r="B244" s="5">
        <v>3</v>
      </c>
      <c r="C244" s="53" t="s">
        <v>98</v>
      </c>
      <c r="D244" s="12" t="s">
        <v>248</v>
      </c>
      <c r="E244" s="54">
        <f>SUM(E245)</f>
        <v>0</v>
      </c>
      <c r="F244" s="5" t="s">
        <v>3</v>
      </c>
    </row>
    <row r="245" spans="1:6" ht="30" hidden="1" x14ac:dyDescent="0.25">
      <c r="A245" s="5"/>
      <c r="B245" s="5"/>
      <c r="C245" s="53"/>
      <c r="D245" s="43" t="s">
        <v>249</v>
      </c>
      <c r="E245" s="37">
        <v>0</v>
      </c>
      <c r="F245" s="5"/>
    </row>
    <row r="246" spans="1:6" hidden="1" x14ac:dyDescent="0.25">
      <c r="A246" s="5">
        <v>2</v>
      </c>
      <c r="B246" s="5">
        <v>3</v>
      </c>
      <c r="C246" s="53" t="s">
        <v>122</v>
      </c>
      <c r="D246" s="12" t="s">
        <v>250</v>
      </c>
      <c r="E246" s="54"/>
      <c r="F246" s="5"/>
    </row>
    <row r="247" spans="1:6" ht="30" hidden="1" x14ac:dyDescent="0.25">
      <c r="A247" s="3">
        <v>2</v>
      </c>
      <c r="B247" s="3">
        <v>3</v>
      </c>
      <c r="C247" s="34" t="s">
        <v>199</v>
      </c>
      <c r="D247" s="2" t="s">
        <v>251</v>
      </c>
      <c r="E247" s="35">
        <f>SUM(E248:E250)</f>
        <v>0</v>
      </c>
      <c r="F247" s="3" t="s">
        <v>3</v>
      </c>
    </row>
    <row r="248" spans="1:6" hidden="1" x14ac:dyDescent="0.25">
      <c r="A248" s="5"/>
      <c r="B248" s="5"/>
      <c r="C248" s="53"/>
      <c r="D248" s="43"/>
      <c r="E248" s="37"/>
      <c r="F248" s="5"/>
    </row>
    <row r="249" spans="1:6" hidden="1" x14ac:dyDescent="0.25">
      <c r="A249" s="5"/>
      <c r="B249" s="5"/>
      <c r="C249" s="53"/>
      <c r="D249" s="43"/>
      <c r="E249" s="37"/>
      <c r="F249" s="5"/>
    </row>
    <row r="250" spans="1:6" hidden="1" x14ac:dyDescent="0.25">
      <c r="A250" s="5"/>
      <c r="B250" s="5"/>
      <c r="C250" s="53"/>
      <c r="D250" s="71"/>
      <c r="E250" s="50"/>
      <c r="F250" s="5"/>
    </row>
    <row r="251" spans="1:6" ht="30" hidden="1" x14ac:dyDescent="0.25">
      <c r="A251" s="3">
        <v>2</v>
      </c>
      <c r="B251" s="3">
        <v>3</v>
      </c>
      <c r="C251" s="34" t="s">
        <v>163</v>
      </c>
      <c r="D251" s="2" t="s">
        <v>252</v>
      </c>
      <c r="E251" s="35">
        <f>SUM(E252:E252)</f>
        <v>0</v>
      </c>
      <c r="F251" s="3" t="s">
        <v>3</v>
      </c>
    </row>
    <row r="252" spans="1:6" hidden="1" x14ac:dyDescent="0.25">
      <c r="A252" s="3"/>
      <c r="B252" s="3"/>
      <c r="C252" s="34"/>
      <c r="D252" s="43" t="s">
        <v>253</v>
      </c>
      <c r="E252" s="37">
        <v>0</v>
      </c>
      <c r="F252" s="5"/>
    </row>
    <row r="253" spans="1:6" ht="30" x14ac:dyDescent="0.25">
      <c r="A253" s="3">
        <v>2</v>
      </c>
      <c r="B253" s="3">
        <v>3</v>
      </c>
      <c r="C253" s="34" t="s">
        <v>254</v>
      </c>
      <c r="D253" s="2" t="s">
        <v>255</v>
      </c>
      <c r="E253" s="35">
        <f>SUM(E254:E255)</f>
        <v>140000000</v>
      </c>
      <c r="F253" s="3" t="s">
        <v>3</v>
      </c>
    </row>
    <row r="254" spans="1:6" hidden="1" x14ac:dyDescent="0.25">
      <c r="A254" s="5"/>
      <c r="B254" s="5"/>
      <c r="C254" s="53"/>
      <c r="D254" s="71" t="s">
        <v>256</v>
      </c>
      <c r="E254" s="50">
        <v>0</v>
      </c>
      <c r="F254" s="42"/>
    </row>
    <row r="255" spans="1:6" ht="30" x14ac:dyDescent="0.25">
      <c r="A255" s="5"/>
      <c r="B255" s="5"/>
      <c r="C255" s="53"/>
      <c r="D255" s="43" t="s">
        <v>415</v>
      </c>
      <c r="E255" s="37">
        <v>140000000</v>
      </c>
      <c r="F255" s="5"/>
    </row>
    <row r="256" spans="1:6" ht="45" hidden="1" x14ac:dyDescent="0.25">
      <c r="A256" s="3">
        <v>2</v>
      </c>
      <c r="B256" s="3">
        <v>3</v>
      </c>
      <c r="C256" s="34" t="s">
        <v>257</v>
      </c>
      <c r="D256" s="2" t="s">
        <v>258</v>
      </c>
      <c r="E256" s="35">
        <f>SUM(E257:E258)</f>
        <v>0</v>
      </c>
      <c r="F256" s="3" t="s">
        <v>6</v>
      </c>
    </row>
    <row r="257" spans="1:6" ht="30" hidden="1" x14ac:dyDescent="0.25">
      <c r="A257" s="3"/>
      <c r="B257" s="3"/>
      <c r="C257" s="34"/>
      <c r="D257" s="43" t="s">
        <v>259</v>
      </c>
      <c r="E257" s="37">
        <v>0</v>
      </c>
      <c r="F257" s="3"/>
    </row>
    <row r="258" spans="1:6" hidden="1" x14ac:dyDescent="0.25">
      <c r="A258" s="5"/>
      <c r="B258" s="5"/>
      <c r="C258" s="53"/>
      <c r="D258" s="71" t="s">
        <v>260</v>
      </c>
      <c r="E258" s="50">
        <v>0</v>
      </c>
      <c r="F258" s="5"/>
    </row>
    <row r="259" spans="1:6" ht="30" hidden="1" x14ac:dyDescent="0.25">
      <c r="A259" s="3">
        <v>2</v>
      </c>
      <c r="B259" s="3">
        <v>3</v>
      </c>
      <c r="C259" s="34" t="s">
        <v>261</v>
      </c>
      <c r="D259" s="2" t="s">
        <v>262</v>
      </c>
      <c r="E259" s="35">
        <f>E260</f>
        <v>0</v>
      </c>
      <c r="F259" s="3" t="s">
        <v>3</v>
      </c>
    </row>
    <row r="260" spans="1:6" ht="30" hidden="1" x14ac:dyDescent="0.25">
      <c r="A260" s="3"/>
      <c r="B260" s="3"/>
      <c r="C260" s="34"/>
      <c r="D260" s="43" t="s">
        <v>263</v>
      </c>
      <c r="E260" s="37">
        <v>0</v>
      </c>
      <c r="F260" s="3"/>
    </row>
    <row r="261" spans="1:6" ht="30" hidden="1" x14ac:dyDescent="0.25">
      <c r="A261" s="3">
        <v>2</v>
      </c>
      <c r="B261" s="3">
        <v>3</v>
      </c>
      <c r="C261" s="34" t="s">
        <v>264</v>
      </c>
      <c r="D261" s="2" t="s">
        <v>265</v>
      </c>
      <c r="E261" s="35">
        <f>SUM(E262:E262)</f>
        <v>0</v>
      </c>
      <c r="F261" s="3" t="s">
        <v>3</v>
      </c>
    </row>
    <row r="262" spans="1:6" hidden="1" x14ac:dyDescent="0.25">
      <c r="A262" s="3"/>
      <c r="B262" s="3"/>
      <c r="C262" s="34"/>
      <c r="D262" s="43" t="s">
        <v>266</v>
      </c>
      <c r="E262" s="40">
        <v>0</v>
      </c>
      <c r="F262" s="3"/>
    </row>
    <row r="263" spans="1:6" x14ac:dyDescent="0.25">
      <c r="A263" s="8">
        <v>2</v>
      </c>
      <c r="B263" s="8">
        <v>4</v>
      </c>
      <c r="C263" s="8"/>
      <c r="D263" s="6" t="s">
        <v>267</v>
      </c>
      <c r="E263" s="57">
        <f>E264+E266+E268+E275+E277+E280+E283+E285</f>
        <v>158600000</v>
      </c>
      <c r="F263" s="8"/>
    </row>
    <row r="264" spans="1:6" ht="30" x14ac:dyDescent="0.25">
      <c r="A264" s="3">
        <v>2</v>
      </c>
      <c r="B264" s="3">
        <v>4</v>
      </c>
      <c r="C264" s="34" t="s">
        <v>85</v>
      </c>
      <c r="D264" s="2" t="s">
        <v>268</v>
      </c>
      <c r="E264" s="35">
        <f>SUM(E265:E265)</f>
        <v>80000000</v>
      </c>
      <c r="F264" s="3" t="s">
        <v>3</v>
      </c>
    </row>
    <row r="265" spans="1:6" ht="30" x14ac:dyDescent="0.25">
      <c r="A265" s="5"/>
      <c r="B265" s="3"/>
      <c r="C265" s="34"/>
      <c r="D265" s="43" t="s">
        <v>269</v>
      </c>
      <c r="E265" s="37">
        <v>80000000</v>
      </c>
      <c r="F265" s="3" t="s">
        <v>3</v>
      </c>
    </row>
    <row r="266" spans="1:6" hidden="1" x14ac:dyDescent="0.25">
      <c r="A266" s="3">
        <v>2</v>
      </c>
      <c r="B266" s="3">
        <v>4</v>
      </c>
      <c r="C266" s="34" t="s">
        <v>98</v>
      </c>
      <c r="D266" s="2" t="s">
        <v>270</v>
      </c>
      <c r="E266" s="35">
        <f>SUM(E267:E267)</f>
        <v>0</v>
      </c>
      <c r="F266" s="3" t="s">
        <v>3</v>
      </c>
    </row>
    <row r="267" spans="1:6" hidden="1" x14ac:dyDescent="0.25">
      <c r="A267" s="5"/>
      <c r="B267" s="3"/>
      <c r="C267" s="34"/>
      <c r="D267" s="43" t="s">
        <v>271</v>
      </c>
      <c r="E267" s="37">
        <v>0</v>
      </c>
      <c r="F267" s="3"/>
    </row>
    <row r="268" spans="1:6" s="185" customFormat="1" x14ac:dyDescent="0.25">
      <c r="A268" s="3">
        <v>2</v>
      </c>
      <c r="B268" s="3">
        <v>4</v>
      </c>
      <c r="C268" s="34" t="s">
        <v>159</v>
      </c>
      <c r="D268" s="2" t="s">
        <v>272</v>
      </c>
      <c r="E268" s="35">
        <f>SUM(E269:E274)</f>
        <v>28600000</v>
      </c>
      <c r="F268" s="3" t="s">
        <v>3</v>
      </c>
    </row>
    <row r="269" spans="1:6" hidden="1" x14ac:dyDescent="0.25">
      <c r="A269" s="5"/>
      <c r="B269" s="5"/>
      <c r="C269" s="53"/>
      <c r="D269" s="43" t="s">
        <v>273</v>
      </c>
      <c r="E269" s="37"/>
      <c r="F269" s="3"/>
    </row>
    <row r="270" spans="1:6" hidden="1" x14ac:dyDescent="0.25">
      <c r="A270" s="5"/>
      <c r="B270" s="5"/>
      <c r="C270" s="53"/>
      <c r="D270" s="71" t="s">
        <v>274</v>
      </c>
      <c r="E270" s="50">
        <v>0</v>
      </c>
      <c r="F270" s="46"/>
    </row>
    <row r="271" spans="1:6" hidden="1" x14ac:dyDescent="0.25">
      <c r="A271" s="5"/>
      <c r="B271" s="5"/>
      <c r="C271" s="53"/>
      <c r="D271" s="71" t="s">
        <v>275</v>
      </c>
      <c r="E271" s="50">
        <v>0</v>
      </c>
      <c r="F271" s="46"/>
    </row>
    <row r="272" spans="1:6" hidden="1" x14ac:dyDescent="0.25">
      <c r="A272" s="5"/>
      <c r="B272" s="5"/>
      <c r="C272" s="53"/>
      <c r="D272" s="71" t="s">
        <v>276</v>
      </c>
      <c r="E272" s="50">
        <v>0</v>
      </c>
      <c r="F272" s="46"/>
    </row>
    <row r="273" spans="1:6" hidden="1" x14ac:dyDescent="0.25">
      <c r="A273" s="5"/>
      <c r="B273" s="5"/>
      <c r="C273" s="53"/>
      <c r="D273" s="71" t="s">
        <v>277</v>
      </c>
      <c r="E273" s="50">
        <v>0</v>
      </c>
      <c r="F273" s="46"/>
    </row>
    <row r="274" spans="1:6" x14ac:dyDescent="0.25">
      <c r="A274" s="3"/>
      <c r="B274" s="3"/>
      <c r="C274" s="34"/>
      <c r="D274" s="43" t="s">
        <v>416</v>
      </c>
      <c r="E274" s="40">
        <v>28600000</v>
      </c>
      <c r="F274" s="97"/>
    </row>
    <row r="275" spans="1:6" hidden="1" x14ac:dyDescent="0.25">
      <c r="A275" s="5">
        <v>2</v>
      </c>
      <c r="B275" s="5">
        <v>4</v>
      </c>
      <c r="C275" s="53" t="s">
        <v>160</v>
      </c>
      <c r="D275" s="12" t="s">
        <v>280</v>
      </c>
      <c r="E275" s="54">
        <f>SUM(E276:E276)</f>
        <v>0</v>
      </c>
      <c r="F275" s="5" t="s">
        <v>3</v>
      </c>
    </row>
    <row r="276" spans="1:6" hidden="1" x14ac:dyDescent="0.25">
      <c r="A276" s="5"/>
      <c r="B276" s="5"/>
      <c r="C276" s="53"/>
      <c r="D276" s="71" t="s">
        <v>281</v>
      </c>
      <c r="E276" s="50">
        <v>0</v>
      </c>
      <c r="F276" s="5"/>
    </row>
    <row r="277" spans="1:6" ht="30" hidden="1" x14ac:dyDescent="0.25">
      <c r="A277" s="3">
        <v>2</v>
      </c>
      <c r="B277" s="3">
        <v>4</v>
      </c>
      <c r="C277" s="34">
        <v>11</v>
      </c>
      <c r="D277" s="2" t="s">
        <v>282</v>
      </c>
      <c r="E277" s="35">
        <f>SUM(E278:E279)</f>
        <v>0</v>
      </c>
      <c r="F277" s="3" t="s">
        <v>3</v>
      </c>
    </row>
    <row r="278" spans="1:6" hidden="1" x14ac:dyDescent="0.25">
      <c r="A278" s="3"/>
      <c r="B278" s="3"/>
      <c r="C278" s="34"/>
      <c r="D278" s="71" t="s">
        <v>283</v>
      </c>
      <c r="E278" s="50">
        <v>0</v>
      </c>
      <c r="F278" s="42" t="s">
        <v>3</v>
      </c>
    </row>
    <row r="279" spans="1:6" hidden="1" x14ac:dyDescent="0.25">
      <c r="A279" s="3"/>
      <c r="B279" s="3"/>
      <c r="C279" s="34"/>
      <c r="D279" s="71" t="s">
        <v>283</v>
      </c>
      <c r="E279" s="50">
        <v>0</v>
      </c>
      <c r="F279" s="42" t="s">
        <v>4</v>
      </c>
    </row>
    <row r="280" spans="1:6" ht="30" x14ac:dyDescent="0.25">
      <c r="A280" s="3">
        <v>2</v>
      </c>
      <c r="B280" s="3">
        <v>4</v>
      </c>
      <c r="C280" s="106">
        <v>12</v>
      </c>
      <c r="D280" s="107" t="s">
        <v>284</v>
      </c>
      <c r="E280" s="35">
        <f>E281</f>
        <v>20000000</v>
      </c>
      <c r="F280" s="3" t="s">
        <v>3</v>
      </c>
    </row>
    <row r="281" spans="1:6" x14ac:dyDescent="0.25">
      <c r="A281" s="5"/>
      <c r="B281" s="5"/>
      <c r="C281" s="108"/>
      <c r="D281" s="43" t="s">
        <v>285</v>
      </c>
      <c r="E281" s="37">
        <v>20000000</v>
      </c>
      <c r="F281" s="92"/>
    </row>
    <row r="282" spans="1:6" hidden="1" x14ac:dyDescent="0.25">
      <c r="A282" s="3">
        <v>2</v>
      </c>
      <c r="B282" s="3">
        <v>4</v>
      </c>
      <c r="C282" s="34" t="s">
        <v>286</v>
      </c>
      <c r="D282" s="2" t="s">
        <v>287</v>
      </c>
      <c r="E282" s="109"/>
      <c r="F282" s="97"/>
    </row>
    <row r="283" spans="1:6" ht="30" x14ac:dyDescent="0.25">
      <c r="A283" s="3">
        <v>2</v>
      </c>
      <c r="B283" s="3">
        <v>4</v>
      </c>
      <c r="C283" s="34" t="s">
        <v>257</v>
      </c>
      <c r="D283" s="2" t="s">
        <v>288</v>
      </c>
      <c r="E283" s="35">
        <f>E284</f>
        <v>30000000</v>
      </c>
      <c r="F283" s="3" t="s">
        <v>3</v>
      </c>
    </row>
    <row r="284" spans="1:6" x14ac:dyDescent="0.25">
      <c r="A284" s="5"/>
      <c r="B284" s="5"/>
      <c r="C284" s="53"/>
      <c r="D284" s="43" t="s">
        <v>289</v>
      </c>
      <c r="E284" s="37">
        <v>30000000</v>
      </c>
      <c r="F284" s="42" t="s">
        <v>432</v>
      </c>
    </row>
    <row r="285" spans="1:6" s="185" customFormat="1" ht="30" hidden="1" x14ac:dyDescent="0.25">
      <c r="A285" s="3">
        <v>2</v>
      </c>
      <c r="B285" s="3">
        <v>4</v>
      </c>
      <c r="C285" s="34" t="s">
        <v>261</v>
      </c>
      <c r="D285" s="2" t="s">
        <v>290</v>
      </c>
      <c r="E285" s="35">
        <f>SUM(E286:E288)</f>
        <v>0</v>
      </c>
      <c r="F285" s="3" t="s">
        <v>3</v>
      </c>
    </row>
    <row r="286" spans="1:6" hidden="1" x14ac:dyDescent="0.25">
      <c r="A286" s="3"/>
      <c r="B286" s="3"/>
      <c r="C286" s="34"/>
      <c r="D286" s="43" t="s">
        <v>291</v>
      </c>
      <c r="E286" s="37"/>
      <c r="F286" s="36" t="s">
        <v>3</v>
      </c>
    </row>
    <row r="287" spans="1:6" hidden="1" x14ac:dyDescent="0.25">
      <c r="A287" s="5"/>
      <c r="B287" s="5"/>
      <c r="C287" s="53"/>
      <c r="D287" s="71" t="s">
        <v>278</v>
      </c>
      <c r="E287" s="50">
        <v>0</v>
      </c>
      <c r="F287" s="42"/>
    </row>
    <row r="288" spans="1:6" hidden="1" x14ac:dyDescent="0.25">
      <c r="A288" s="5"/>
      <c r="B288" s="5"/>
      <c r="C288" s="53"/>
      <c r="D288" s="71" t="s">
        <v>279</v>
      </c>
      <c r="E288" s="50">
        <v>0</v>
      </c>
      <c r="F288" s="42" t="s">
        <v>3</v>
      </c>
    </row>
    <row r="289" spans="1:6" hidden="1" x14ac:dyDescent="0.25">
      <c r="A289" s="5"/>
      <c r="B289" s="5"/>
      <c r="C289" s="53"/>
      <c r="D289" s="71"/>
      <c r="E289" s="64"/>
      <c r="F289" s="5"/>
    </row>
    <row r="290" spans="1:6" ht="30" hidden="1" x14ac:dyDescent="0.25">
      <c r="A290" s="3">
        <v>2</v>
      </c>
      <c r="B290" s="3">
        <v>4</v>
      </c>
      <c r="C290" s="34" t="s">
        <v>264</v>
      </c>
      <c r="D290" s="110" t="s">
        <v>292</v>
      </c>
      <c r="E290" s="45">
        <f>E291</f>
        <v>0</v>
      </c>
      <c r="F290" s="4" t="s">
        <v>3</v>
      </c>
    </row>
    <row r="291" spans="1:6" hidden="1" x14ac:dyDescent="0.25">
      <c r="A291" s="5"/>
      <c r="B291" s="5"/>
      <c r="C291" s="53"/>
      <c r="D291" s="111" t="s">
        <v>293</v>
      </c>
      <c r="E291" s="112"/>
      <c r="F291" s="113"/>
    </row>
    <row r="292" spans="1:6" hidden="1" x14ac:dyDescent="0.25">
      <c r="A292" s="5"/>
      <c r="B292" s="5"/>
      <c r="C292" s="53"/>
      <c r="D292" s="111"/>
      <c r="E292" s="112"/>
      <c r="F292" s="113"/>
    </row>
    <row r="293" spans="1:6" hidden="1" x14ac:dyDescent="0.25">
      <c r="A293" s="5"/>
      <c r="B293" s="5"/>
      <c r="C293" s="53"/>
      <c r="D293" s="111"/>
      <c r="E293" s="112"/>
      <c r="F293" s="113"/>
    </row>
    <row r="294" spans="1:6" hidden="1" x14ac:dyDescent="0.25">
      <c r="A294" s="10">
        <v>2</v>
      </c>
      <c r="B294" s="10">
        <v>5</v>
      </c>
      <c r="C294" s="10"/>
      <c r="D294" s="114" t="s">
        <v>294</v>
      </c>
      <c r="E294" s="115">
        <f>E295+E298</f>
        <v>0</v>
      </c>
      <c r="F294" s="10"/>
    </row>
    <row r="295" spans="1:6" s="185" customFormat="1" hidden="1" x14ac:dyDescent="0.25">
      <c r="A295" s="92">
        <v>2</v>
      </c>
      <c r="B295" s="5">
        <v>5</v>
      </c>
      <c r="C295" s="53" t="s">
        <v>89</v>
      </c>
      <c r="D295" s="5" t="s">
        <v>295</v>
      </c>
      <c r="E295" s="54">
        <f>SUM(E296:E297)</f>
        <v>0</v>
      </c>
      <c r="F295" s="5" t="s">
        <v>3</v>
      </c>
    </row>
    <row r="296" spans="1:6" hidden="1" x14ac:dyDescent="0.25">
      <c r="A296" s="92"/>
      <c r="B296" s="92"/>
      <c r="C296" s="116"/>
      <c r="D296" s="42" t="s">
        <v>296</v>
      </c>
      <c r="E296" s="50">
        <v>0</v>
      </c>
      <c r="F296" s="42" t="s">
        <v>3</v>
      </c>
    </row>
    <row r="297" spans="1:6" hidden="1" x14ac:dyDescent="0.25">
      <c r="A297" s="92"/>
      <c r="B297" s="92"/>
      <c r="C297" s="116"/>
      <c r="D297" s="42" t="s">
        <v>297</v>
      </c>
      <c r="E297" s="50"/>
      <c r="F297" s="42" t="s">
        <v>3</v>
      </c>
    </row>
    <row r="298" spans="1:6" s="185" customFormat="1" ht="30" hidden="1" x14ac:dyDescent="0.25">
      <c r="A298" s="5">
        <v>2</v>
      </c>
      <c r="B298" s="5">
        <v>5</v>
      </c>
      <c r="C298" s="53" t="s">
        <v>98</v>
      </c>
      <c r="D298" s="187" t="s">
        <v>298</v>
      </c>
      <c r="E298" s="35">
        <f>E299</f>
        <v>0</v>
      </c>
      <c r="F298" s="3" t="s">
        <v>3</v>
      </c>
    </row>
    <row r="299" spans="1:6" hidden="1" x14ac:dyDescent="0.25">
      <c r="A299" s="92"/>
      <c r="B299" s="92"/>
      <c r="C299" s="92"/>
      <c r="D299" s="71" t="s">
        <v>299</v>
      </c>
      <c r="E299" s="37"/>
      <c r="F299" s="36" t="s">
        <v>3</v>
      </c>
    </row>
    <row r="300" spans="1:6" hidden="1" x14ac:dyDescent="0.25">
      <c r="A300" s="92"/>
      <c r="B300" s="92"/>
      <c r="C300" s="92"/>
      <c r="D300" s="71"/>
      <c r="E300" s="50"/>
      <c r="F300" s="42"/>
    </row>
    <row r="301" spans="1:6" x14ac:dyDescent="0.25">
      <c r="A301" s="117">
        <v>2</v>
      </c>
      <c r="B301" s="117">
        <v>6</v>
      </c>
      <c r="C301" s="117"/>
      <c r="D301" s="13" t="s">
        <v>52</v>
      </c>
      <c r="E301" s="118">
        <f>E302+E306+E311</f>
        <v>26000000</v>
      </c>
      <c r="F301" s="69"/>
    </row>
    <row r="302" spans="1:6" hidden="1" x14ac:dyDescent="0.25">
      <c r="A302" s="5">
        <v>2</v>
      </c>
      <c r="B302" s="5">
        <v>6</v>
      </c>
      <c r="C302" s="53" t="s">
        <v>85</v>
      </c>
      <c r="D302" s="12" t="s">
        <v>300</v>
      </c>
      <c r="E302" s="54">
        <f>SUM(E303:E305)</f>
        <v>0</v>
      </c>
      <c r="F302" s="5" t="s">
        <v>3</v>
      </c>
    </row>
    <row r="303" spans="1:6" hidden="1" x14ac:dyDescent="0.25">
      <c r="A303" s="5"/>
      <c r="B303" s="5"/>
      <c r="C303" s="53"/>
      <c r="D303" s="71" t="s">
        <v>301</v>
      </c>
      <c r="E303" s="75"/>
      <c r="F303" s="46"/>
    </row>
    <row r="304" spans="1:6" hidden="1" x14ac:dyDescent="0.25">
      <c r="A304" s="5"/>
      <c r="B304" s="5"/>
      <c r="C304" s="53"/>
      <c r="D304" s="71" t="s">
        <v>302</v>
      </c>
      <c r="E304" s="75"/>
      <c r="F304" s="46"/>
    </row>
    <row r="305" spans="1:6" hidden="1" x14ac:dyDescent="0.25">
      <c r="A305" s="5"/>
      <c r="B305" s="5"/>
      <c r="C305" s="53"/>
      <c r="D305" s="71" t="s">
        <v>303</v>
      </c>
      <c r="E305" s="75"/>
      <c r="F305" s="46"/>
    </row>
    <row r="306" spans="1:6" ht="33.75" customHeight="1" x14ac:dyDescent="0.25">
      <c r="A306" s="3">
        <v>2</v>
      </c>
      <c r="B306" s="3">
        <v>6</v>
      </c>
      <c r="C306" s="34" t="s">
        <v>89</v>
      </c>
      <c r="D306" s="2" t="s">
        <v>53</v>
      </c>
      <c r="E306" s="35">
        <f>SUM(E307:E310)</f>
        <v>26000000</v>
      </c>
      <c r="F306" s="2" t="s">
        <v>304</v>
      </c>
    </row>
    <row r="307" spans="1:6" hidden="1" x14ac:dyDescent="0.25">
      <c r="A307" s="3"/>
      <c r="B307" s="3"/>
      <c r="C307" s="34"/>
      <c r="D307" s="42" t="s">
        <v>161</v>
      </c>
      <c r="E307" s="50">
        <v>0</v>
      </c>
      <c r="F307" s="2"/>
    </row>
    <row r="308" spans="1:6" x14ac:dyDescent="0.25">
      <c r="A308" s="3"/>
      <c r="B308" s="3"/>
      <c r="C308" s="34"/>
      <c r="D308" s="48" t="s">
        <v>162</v>
      </c>
      <c r="E308" s="49">
        <v>24000000</v>
      </c>
      <c r="F308" s="43" t="s">
        <v>3</v>
      </c>
    </row>
    <row r="309" spans="1:6" x14ac:dyDescent="0.25">
      <c r="A309" s="3"/>
      <c r="B309" s="3"/>
      <c r="C309" s="34"/>
      <c r="D309" s="43" t="s">
        <v>305</v>
      </c>
      <c r="E309" s="37">
        <v>2000000</v>
      </c>
      <c r="F309" s="43" t="s">
        <v>0</v>
      </c>
    </row>
    <row r="310" spans="1:6" hidden="1" x14ac:dyDescent="0.25">
      <c r="A310" s="3"/>
      <c r="B310" s="3"/>
      <c r="C310" s="34"/>
      <c r="D310" s="103" t="s">
        <v>306</v>
      </c>
      <c r="E310" s="104">
        <v>0</v>
      </c>
      <c r="F310" s="119"/>
    </row>
    <row r="311" spans="1:6" ht="30" hidden="1" x14ac:dyDescent="0.25">
      <c r="A311" s="93">
        <v>2</v>
      </c>
      <c r="B311" s="93">
        <v>6</v>
      </c>
      <c r="C311" s="94" t="s">
        <v>98</v>
      </c>
      <c r="D311" s="95" t="s">
        <v>307</v>
      </c>
      <c r="E311" s="96">
        <f>SUM(E312:E313)</f>
        <v>0</v>
      </c>
      <c r="F311" s="95" t="s">
        <v>3</v>
      </c>
    </row>
    <row r="312" spans="1:6" hidden="1" x14ac:dyDescent="0.25">
      <c r="A312" s="3"/>
      <c r="B312" s="3"/>
      <c r="C312" s="34"/>
      <c r="D312" s="103" t="s">
        <v>308</v>
      </c>
      <c r="E312" s="104">
        <v>0</v>
      </c>
      <c r="F312" s="2"/>
    </row>
    <row r="313" spans="1:6" hidden="1" x14ac:dyDescent="0.25">
      <c r="A313" s="3"/>
      <c r="B313" s="3"/>
      <c r="C313" s="34"/>
      <c r="D313" s="103" t="s">
        <v>309</v>
      </c>
      <c r="E313" s="104"/>
      <c r="F313" s="119"/>
    </row>
    <row r="314" spans="1:6" hidden="1" x14ac:dyDescent="0.25">
      <c r="A314" s="10">
        <v>2</v>
      </c>
      <c r="B314" s="10">
        <v>7</v>
      </c>
      <c r="C314" s="10"/>
      <c r="D314" s="114" t="s">
        <v>310</v>
      </c>
      <c r="E314" s="115"/>
      <c r="F314" s="10"/>
    </row>
    <row r="315" spans="1:6" x14ac:dyDescent="0.25">
      <c r="A315" s="10">
        <v>2</v>
      </c>
      <c r="B315" s="10">
        <v>8</v>
      </c>
      <c r="C315" s="8"/>
      <c r="D315" s="114" t="s">
        <v>311</v>
      </c>
      <c r="E315" s="57">
        <f>E318</f>
        <v>5000000</v>
      </c>
      <c r="F315" s="8"/>
    </row>
    <row r="316" spans="1:6" hidden="1" x14ac:dyDescent="0.25">
      <c r="A316" s="3">
        <v>2</v>
      </c>
      <c r="B316" s="3">
        <v>8</v>
      </c>
      <c r="C316" s="34" t="s">
        <v>85</v>
      </c>
      <c r="D316" s="2" t="s">
        <v>312</v>
      </c>
      <c r="E316" s="35"/>
      <c r="F316" s="3"/>
    </row>
    <row r="317" spans="1:6" s="188" customFormat="1" ht="30" hidden="1" x14ac:dyDescent="0.25">
      <c r="A317" s="3">
        <v>2</v>
      </c>
      <c r="B317" s="3">
        <v>8</v>
      </c>
      <c r="C317" s="34" t="s">
        <v>89</v>
      </c>
      <c r="D317" s="2" t="s">
        <v>313</v>
      </c>
      <c r="E317" s="35"/>
      <c r="F317" s="3"/>
    </row>
    <row r="318" spans="1:6" s="185" customFormat="1" x14ac:dyDescent="0.25">
      <c r="A318" s="5">
        <v>2</v>
      </c>
      <c r="B318" s="5">
        <v>8</v>
      </c>
      <c r="C318" s="53" t="s">
        <v>98</v>
      </c>
      <c r="D318" s="17" t="s">
        <v>314</v>
      </c>
      <c r="E318" s="54">
        <f>SUM(E319:E321)</f>
        <v>5000000</v>
      </c>
      <c r="F318" s="5" t="s">
        <v>3</v>
      </c>
    </row>
    <row r="319" spans="1:6" x14ac:dyDescent="0.25">
      <c r="A319" s="5"/>
      <c r="B319" s="5"/>
      <c r="C319" s="53"/>
      <c r="D319" s="120" t="s">
        <v>315</v>
      </c>
      <c r="E319" s="49">
        <v>5000000</v>
      </c>
      <c r="F319" s="92" t="s">
        <v>3</v>
      </c>
    </row>
    <row r="320" spans="1:6" hidden="1" x14ac:dyDescent="0.25">
      <c r="A320" s="5"/>
      <c r="B320" s="5"/>
      <c r="C320" s="53"/>
      <c r="D320" s="120"/>
      <c r="E320" s="49"/>
      <c r="F320" s="92" t="s">
        <v>3</v>
      </c>
    </row>
    <row r="321" spans="1:6" hidden="1" x14ac:dyDescent="0.25">
      <c r="A321" s="5"/>
      <c r="B321" s="5"/>
      <c r="C321" s="53"/>
      <c r="D321" s="120"/>
      <c r="E321" s="49">
        <v>0</v>
      </c>
      <c r="F321" s="92" t="s">
        <v>316</v>
      </c>
    </row>
    <row r="322" spans="1:6" x14ac:dyDescent="0.25">
      <c r="A322" s="11">
        <v>3</v>
      </c>
      <c r="B322" s="11"/>
      <c r="C322" s="11"/>
      <c r="D322" s="14" t="s">
        <v>54</v>
      </c>
      <c r="E322" s="88">
        <f>E323+E341+E359+E371</f>
        <v>65000800</v>
      </c>
      <c r="F322" s="11"/>
    </row>
    <row r="323" spans="1:6" ht="30" x14ac:dyDescent="0.25">
      <c r="A323" s="119">
        <v>3</v>
      </c>
      <c r="B323" s="121">
        <v>1</v>
      </c>
      <c r="C323" s="121"/>
      <c r="D323" s="15" t="s">
        <v>55</v>
      </c>
      <c r="E323" s="122">
        <f>E324+E332+E337</f>
        <v>12000000</v>
      </c>
      <c r="F323" s="121"/>
    </row>
    <row r="324" spans="1:6" ht="15.75" customHeight="1" x14ac:dyDescent="0.25">
      <c r="A324" s="5">
        <v>3</v>
      </c>
      <c r="B324" s="5">
        <v>1</v>
      </c>
      <c r="C324" s="53" t="s">
        <v>85</v>
      </c>
      <c r="D324" s="12" t="s">
        <v>60</v>
      </c>
      <c r="E324" s="54">
        <f>E325+E328</f>
        <v>12000000</v>
      </c>
      <c r="F324" s="5" t="s">
        <v>1</v>
      </c>
    </row>
    <row r="325" spans="1:6" ht="18" hidden="1" customHeight="1" x14ac:dyDescent="0.25">
      <c r="A325" s="5"/>
      <c r="B325" s="5"/>
      <c r="C325" s="53"/>
      <c r="D325" s="72" t="s">
        <v>317</v>
      </c>
      <c r="E325" s="64">
        <f>SUM(E326:E327)</f>
        <v>0</v>
      </c>
      <c r="F325" s="63" t="s">
        <v>3</v>
      </c>
    </row>
    <row r="326" spans="1:6" hidden="1" x14ac:dyDescent="0.25">
      <c r="A326" s="5"/>
      <c r="B326" s="5"/>
      <c r="C326" s="53"/>
      <c r="D326" s="71" t="s">
        <v>318</v>
      </c>
      <c r="E326" s="51">
        <v>0</v>
      </c>
      <c r="F326" s="42" t="s">
        <v>3</v>
      </c>
    </row>
    <row r="327" spans="1:6" hidden="1" x14ac:dyDescent="0.25">
      <c r="A327" s="5"/>
      <c r="B327" s="5"/>
      <c r="C327" s="53"/>
      <c r="D327" s="71" t="s">
        <v>319</v>
      </c>
      <c r="E327" s="51">
        <v>0</v>
      </c>
      <c r="F327" s="42" t="s">
        <v>3</v>
      </c>
    </row>
    <row r="328" spans="1:6" ht="15.75" customHeight="1" x14ac:dyDescent="0.25">
      <c r="A328" s="5"/>
      <c r="B328" s="5"/>
      <c r="C328" s="53"/>
      <c r="D328" s="72" t="s">
        <v>320</v>
      </c>
      <c r="E328" s="64">
        <f>SUM(E329:E330)</f>
        <v>12000000</v>
      </c>
      <c r="F328" s="63" t="s">
        <v>1</v>
      </c>
    </row>
    <row r="329" spans="1:6" ht="20.25" customHeight="1" x14ac:dyDescent="0.25">
      <c r="A329" s="3"/>
      <c r="B329" s="3"/>
      <c r="C329" s="34"/>
      <c r="D329" s="43" t="s">
        <v>321</v>
      </c>
      <c r="E329" s="37">
        <v>9000000</v>
      </c>
      <c r="F329" s="43" t="s">
        <v>1</v>
      </c>
    </row>
    <row r="330" spans="1:6" ht="17.25" customHeight="1" x14ac:dyDescent="0.25">
      <c r="A330" s="5"/>
      <c r="B330" s="5"/>
      <c r="C330" s="53"/>
      <c r="D330" s="71" t="s">
        <v>322</v>
      </c>
      <c r="E330" s="50">
        <v>3000000</v>
      </c>
      <c r="F330" s="48" t="s">
        <v>1</v>
      </c>
    </row>
    <row r="331" spans="1:6" hidden="1" x14ac:dyDescent="0.25">
      <c r="A331" s="5"/>
      <c r="B331" s="5"/>
      <c r="C331" s="53"/>
      <c r="D331" s="123"/>
      <c r="E331" s="75"/>
      <c r="F331" s="46"/>
    </row>
    <row r="332" spans="1:6" ht="30" hidden="1" x14ac:dyDescent="0.25">
      <c r="A332" s="5">
        <v>3</v>
      </c>
      <c r="B332" s="5">
        <v>1</v>
      </c>
      <c r="C332" s="53" t="s">
        <v>89</v>
      </c>
      <c r="D332" s="12" t="s">
        <v>323</v>
      </c>
      <c r="E332" s="75"/>
      <c r="F332" s="46"/>
    </row>
    <row r="333" spans="1:6" ht="30" hidden="1" x14ac:dyDescent="0.25">
      <c r="A333" s="5">
        <v>3</v>
      </c>
      <c r="B333" s="5">
        <v>1</v>
      </c>
      <c r="C333" s="53" t="s">
        <v>98</v>
      </c>
      <c r="D333" s="12" t="s">
        <v>324</v>
      </c>
      <c r="E333" s="75"/>
      <c r="F333" s="46"/>
    </row>
    <row r="334" spans="1:6" hidden="1" x14ac:dyDescent="0.25">
      <c r="A334" s="3">
        <v>3</v>
      </c>
      <c r="B334" s="3">
        <v>1</v>
      </c>
      <c r="C334" s="34" t="s">
        <v>109</v>
      </c>
      <c r="D334" s="2" t="s">
        <v>325</v>
      </c>
      <c r="E334" s="109"/>
      <c r="F334" s="97"/>
    </row>
    <row r="335" spans="1:6" hidden="1" x14ac:dyDescent="0.25">
      <c r="A335" s="5">
        <v>3</v>
      </c>
      <c r="B335" s="5">
        <v>1</v>
      </c>
      <c r="C335" s="53" t="s">
        <v>122</v>
      </c>
      <c r="D335" s="12" t="s">
        <v>326</v>
      </c>
      <c r="E335" s="75"/>
      <c r="F335" s="46"/>
    </row>
    <row r="336" spans="1:6" hidden="1" x14ac:dyDescent="0.25">
      <c r="A336" s="5">
        <v>3</v>
      </c>
      <c r="B336" s="5">
        <v>1</v>
      </c>
      <c r="C336" s="53" t="s">
        <v>125</v>
      </c>
      <c r="D336" s="12" t="s">
        <v>327</v>
      </c>
      <c r="E336" s="75"/>
      <c r="F336" s="46"/>
    </row>
    <row r="337" spans="1:6" ht="30" hidden="1" x14ac:dyDescent="0.25">
      <c r="A337" s="5">
        <v>3</v>
      </c>
      <c r="B337" s="5">
        <v>1</v>
      </c>
      <c r="C337" s="53" t="s">
        <v>159</v>
      </c>
      <c r="D337" s="12" t="s">
        <v>328</v>
      </c>
      <c r="E337" s="75">
        <f>SUM(E338:E340)</f>
        <v>0</v>
      </c>
      <c r="F337" s="46"/>
    </row>
    <row r="338" spans="1:6" hidden="1" x14ac:dyDescent="0.25">
      <c r="A338" s="5"/>
      <c r="B338" s="5"/>
      <c r="C338" s="53"/>
      <c r="D338" s="12"/>
      <c r="E338" s="75"/>
      <c r="F338" s="46"/>
    </row>
    <row r="339" spans="1:6" hidden="1" x14ac:dyDescent="0.25">
      <c r="A339" s="5"/>
      <c r="B339" s="5"/>
      <c r="C339" s="53"/>
      <c r="D339" s="12"/>
      <c r="E339" s="75"/>
      <c r="F339" s="46"/>
    </row>
    <row r="340" spans="1:6" hidden="1" x14ac:dyDescent="0.25">
      <c r="A340" s="5"/>
      <c r="B340" s="5"/>
      <c r="C340" s="53"/>
      <c r="D340" s="12"/>
      <c r="E340" s="75"/>
      <c r="F340" s="46"/>
    </row>
    <row r="341" spans="1:6" x14ac:dyDescent="0.25">
      <c r="A341" s="121">
        <v>3</v>
      </c>
      <c r="B341" s="121">
        <v>2</v>
      </c>
      <c r="C341" s="121"/>
      <c r="D341" s="15" t="s">
        <v>56</v>
      </c>
      <c r="E341" s="122">
        <f>E342+E344+E347</f>
        <v>22000000</v>
      </c>
      <c r="F341" s="15"/>
    </row>
    <row r="342" spans="1:6" x14ac:dyDescent="0.25">
      <c r="A342" s="3">
        <v>3</v>
      </c>
      <c r="B342" s="3">
        <v>2</v>
      </c>
      <c r="C342" s="34" t="s">
        <v>85</v>
      </c>
      <c r="D342" s="2" t="s">
        <v>57</v>
      </c>
      <c r="E342" s="35">
        <f>SUM(E343:E343)</f>
        <v>10000000</v>
      </c>
      <c r="F342" s="3" t="s">
        <v>1</v>
      </c>
    </row>
    <row r="343" spans="1:6" ht="13.5" customHeight="1" x14ac:dyDescent="0.25">
      <c r="A343" s="3"/>
      <c r="B343" s="3"/>
      <c r="C343" s="34"/>
      <c r="D343" s="43" t="s">
        <v>329</v>
      </c>
      <c r="E343" s="37">
        <v>10000000</v>
      </c>
      <c r="F343" s="36" t="s">
        <v>1</v>
      </c>
    </row>
    <row r="344" spans="1:6" ht="29.25" customHeight="1" x14ac:dyDescent="0.25">
      <c r="A344" s="3">
        <v>3</v>
      </c>
      <c r="B344" s="3">
        <v>2</v>
      </c>
      <c r="C344" s="34" t="s">
        <v>89</v>
      </c>
      <c r="D344" s="2" t="s">
        <v>58</v>
      </c>
      <c r="E344" s="35">
        <f>SUM(E345:E346)</f>
        <v>7000000</v>
      </c>
      <c r="F344" s="3" t="s">
        <v>330</v>
      </c>
    </row>
    <row r="345" spans="1:6" x14ac:dyDescent="0.25">
      <c r="A345" s="3"/>
      <c r="B345" s="3"/>
      <c r="C345" s="34"/>
      <c r="D345" s="103" t="s">
        <v>331</v>
      </c>
      <c r="E345" s="104">
        <v>2000000</v>
      </c>
      <c r="F345" s="105" t="s">
        <v>1</v>
      </c>
    </row>
    <row r="346" spans="1:6" ht="19.5" customHeight="1" x14ac:dyDescent="0.25">
      <c r="A346" s="3"/>
      <c r="B346" s="3"/>
      <c r="C346" s="34"/>
      <c r="D346" s="103" t="s">
        <v>332</v>
      </c>
      <c r="E346" s="104">
        <v>5000000</v>
      </c>
      <c r="F346" s="105" t="s">
        <v>2</v>
      </c>
    </row>
    <row r="347" spans="1:6" ht="29.25" customHeight="1" x14ac:dyDescent="0.25">
      <c r="A347" s="3">
        <v>3</v>
      </c>
      <c r="B347" s="3">
        <v>2</v>
      </c>
      <c r="C347" s="34" t="s">
        <v>98</v>
      </c>
      <c r="D347" s="2" t="s">
        <v>59</v>
      </c>
      <c r="E347" s="35">
        <f>E348+E349</f>
        <v>5000000</v>
      </c>
      <c r="F347" s="3" t="s">
        <v>2</v>
      </c>
    </row>
    <row r="348" spans="1:6" x14ac:dyDescent="0.25">
      <c r="A348" s="3"/>
      <c r="B348" s="3"/>
      <c r="C348" s="34"/>
      <c r="D348" s="43" t="s">
        <v>333</v>
      </c>
      <c r="E348" s="109">
        <v>3500000</v>
      </c>
      <c r="F348" s="36" t="s">
        <v>2</v>
      </c>
    </row>
    <row r="349" spans="1:6" ht="18.75" customHeight="1" x14ac:dyDescent="0.25">
      <c r="A349" s="3"/>
      <c r="B349" s="3"/>
      <c r="C349" s="34"/>
      <c r="D349" s="43" t="s">
        <v>333</v>
      </c>
      <c r="E349" s="109">
        <v>1500000</v>
      </c>
      <c r="F349" s="36" t="s">
        <v>429</v>
      </c>
    </row>
    <row r="350" spans="1:6" hidden="1" x14ac:dyDescent="0.25">
      <c r="A350" s="3"/>
      <c r="B350" s="3"/>
      <c r="C350" s="34"/>
      <c r="D350" s="2"/>
      <c r="E350" s="109"/>
      <c r="F350" s="97"/>
    </row>
    <row r="351" spans="1:6" ht="30" hidden="1" x14ac:dyDescent="0.25">
      <c r="A351" s="5">
        <v>3</v>
      </c>
      <c r="B351" s="5">
        <v>2</v>
      </c>
      <c r="C351" s="53" t="s">
        <v>122</v>
      </c>
      <c r="D351" s="12" t="s">
        <v>334</v>
      </c>
      <c r="E351" s="75"/>
      <c r="F351" s="46"/>
    </row>
    <row r="352" spans="1:6" ht="45" hidden="1" x14ac:dyDescent="0.25">
      <c r="A352" s="5">
        <v>3</v>
      </c>
      <c r="B352" s="5">
        <v>2</v>
      </c>
      <c r="C352" s="53" t="s">
        <v>98</v>
      </c>
      <c r="D352" s="12" t="s">
        <v>335</v>
      </c>
      <c r="E352" s="75"/>
      <c r="F352" s="46"/>
    </row>
    <row r="353" spans="1:6" hidden="1" x14ac:dyDescent="0.25">
      <c r="A353" s="5"/>
      <c r="B353" s="5"/>
      <c r="C353" s="53"/>
      <c r="D353" s="4" t="s">
        <v>336</v>
      </c>
      <c r="E353" s="124">
        <v>0</v>
      </c>
      <c r="F353" s="46" t="s">
        <v>4</v>
      </c>
    </row>
    <row r="354" spans="1:6" hidden="1" x14ac:dyDescent="0.25">
      <c r="A354" s="5"/>
      <c r="B354" s="5"/>
      <c r="C354" s="53"/>
      <c r="D354" s="4" t="s">
        <v>337</v>
      </c>
      <c r="E354" s="124">
        <v>0</v>
      </c>
      <c r="F354" s="46" t="s">
        <v>338</v>
      </c>
    </row>
    <row r="355" spans="1:6" hidden="1" x14ac:dyDescent="0.25">
      <c r="A355" s="5"/>
      <c r="B355" s="5"/>
      <c r="C355" s="53"/>
      <c r="D355" s="4" t="s">
        <v>339</v>
      </c>
      <c r="E355" s="124">
        <v>0</v>
      </c>
      <c r="F355" s="46" t="s">
        <v>4</v>
      </c>
    </row>
    <row r="356" spans="1:6" ht="30" hidden="1" x14ac:dyDescent="0.25">
      <c r="A356" s="3">
        <v>3</v>
      </c>
      <c r="B356" s="3">
        <v>2</v>
      </c>
      <c r="C356" s="34" t="s">
        <v>122</v>
      </c>
      <c r="D356" s="2" t="s">
        <v>340</v>
      </c>
      <c r="E356" s="109">
        <v>0</v>
      </c>
      <c r="F356" s="97" t="s">
        <v>4</v>
      </c>
    </row>
    <row r="357" spans="1:6" hidden="1" x14ac:dyDescent="0.25">
      <c r="A357" s="5"/>
      <c r="B357" s="5"/>
      <c r="C357" s="53"/>
      <c r="D357" s="17" t="s">
        <v>341</v>
      </c>
      <c r="E357" s="124">
        <v>0</v>
      </c>
      <c r="F357" s="46" t="s">
        <v>4</v>
      </c>
    </row>
    <row r="358" spans="1:6" hidden="1" x14ac:dyDescent="0.25">
      <c r="A358" s="5"/>
      <c r="B358" s="5"/>
      <c r="C358" s="53"/>
      <c r="D358" s="2" t="s">
        <v>342</v>
      </c>
      <c r="E358" s="109">
        <v>0</v>
      </c>
      <c r="F358" s="97" t="s">
        <v>4</v>
      </c>
    </row>
    <row r="359" spans="1:6" x14ac:dyDescent="0.25">
      <c r="A359" s="125">
        <v>3</v>
      </c>
      <c r="B359" s="125">
        <v>3</v>
      </c>
      <c r="C359" s="125"/>
      <c r="D359" s="16" t="s">
        <v>61</v>
      </c>
      <c r="E359" s="126">
        <f>E360+E364+E365+E366+E367+E369</f>
        <v>9000800</v>
      </c>
      <c r="F359" s="125"/>
    </row>
    <row r="360" spans="1:6" ht="30" customHeight="1" x14ac:dyDescent="0.25">
      <c r="A360" s="3">
        <v>3</v>
      </c>
      <c r="B360" s="3">
        <v>3</v>
      </c>
      <c r="C360" s="34" t="s">
        <v>85</v>
      </c>
      <c r="D360" s="2" t="s">
        <v>62</v>
      </c>
      <c r="E360" s="35">
        <f>SUM(E361:E363)</f>
        <v>9000800</v>
      </c>
      <c r="F360" s="3" t="s">
        <v>2</v>
      </c>
    </row>
    <row r="361" spans="1:6" ht="18.75" customHeight="1" x14ac:dyDescent="0.25">
      <c r="A361" s="3"/>
      <c r="B361" s="3"/>
      <c r="C361" s="34"/>
      <c r="D361" s="43" t="s">
        <v>343</v>
      </c>
      <c r="E361" s="37">
        <v>2500000</v>
      </c>
      <c r="F361" s="36" t="s">
        <v>429</v>
      </c>
    </row>
    <row r="362" spans="1:6" ht="14.25" customHeight="1" x14ac:dyDescent="0.25">
      <c r="A362" s="3"/>
      <c r="B362" s="3"/>
      <c r="C362" s="34"/>
      <c r="D362" s="43" t="s">
        <v>344</v>
      </c>
      <c r="E362" s="37">
        <v>3000800</v>
      </c>
      <c r="F362" s="36" t="s">
        <v>2</v>
      </c>
    </row>
    <row r="363" spans="1:6" ht="18" customHeight="1" x14ac:dyDescent="0.25">
      <c r="A363" s="3"/>
      <c r="B363" s="3"/>
      <c r="C363" s="34"/>
      <c r="D363" s="43" t="s">
        <v>414</v>
      </c>
      <c r="E363" s="37">
        <v>3500000</v>
      </c>
      <c r="F363" s="36" t="s">
        <v>2</v>
      </c>
    </row>
    <row r="364" spans="1:6" hidden="1" x14ac:dyDescent="0.25">
      <c r="A364" s="5">
        <v>3</v>
      </c>
      <c r="B364" s="5">
        <v>3</v>
      </c>
      <c r="C364" s="53" t="s">
        <v>89</v>
      </c>
      <c r="D364" s="12" t="s">
        <v>345</v>
      </c>
      <c r="E364" s="75"/>
      <c r="F364" s="46"/>
    </row>
    <row r="365" spans="1:6" ht="30" hidden="1" x14ac:dyDescent="0.25">
      <c r="A365" s="5">
        <v>3</v>
      </c>
      <c r="B365" s="5">
        <v>3</v>
      </c>
      <c r="C365" s="53" t="s">
        <v>98</v>
      </c>
      <c r="D365" s="12" t="s">
        <v>346</v>
      </c>
      <c r="E365" s="75"/>
      <c r="F365" s="46"/>
    </row>
    <row r="366" spans="1:6" ht="30" hidden="1" x14ac:dyDescent="0.25">
      <c r="A366" s="5">
        <v>3</v>
      </c>
      <c r="B366" s="5">
        <v>3</v>
      </c>
      <c r="C366" s="53" t="s">
        <v>109</v>
      </c>
      <c r="D366" s="12" t="s">
        <v>347</v>
      </c>
      <c r="E366" s="75"/>
      <c r="F366" s="46"/>
    </row>
    <row r="367" spans="1:6" ht="30" hidden="1" x14ac:dyDescent="0.25">
      <c r="A367" s="3">
        <v>3</v>
      </c>
      <c r="B367" s="3">
        <v>3</v>
      </c>
      <c r="C367" s="34" t="s">
        <v>122</v>
      </c>
      <c r="D367" s="2" t="s">
        <v>348</v>
      </c>
      <c r="E367" s="35">
        <f>E368</f>
        <v>0</v>
      </c>
      <c r="F367" s="3" t="s">
        <v>1</v>
      </c>
    </row>
    <row r="368" spans="1:6" hidden="1" x14ac:dyDescent="0.25">
      <c r="A368" s="5"/>
      <c r="B368" s="5"/>
      <c r="C368" s="53"/>
      <c r="D368" s="71" t="s">
        <v>349</v>
      </c>
      <c r="E368" s="50">
        <v>0</v>
      </c>
      <c r="F368" s="42" t="s">
        <v>1</v>
      </c>
    </row>
    <row r="369" spans="1:6" hidden="1" x14ac:dyDescent="0.25">
      <c r="A369" s="3">
        <v>3</v>
      </c>
      <c r="B369" s="3">
        <v>3</v>
      </c>
      <c r="C369" s="34" t="s">
        <v>125</v>
      </c>
      <c r="D369" s="2" t="s">
        <v>350</v>
      </c>
      <c r="E369" s="35">
        <f>SUM(E370:E370)</f>
        <v>0</v>
      </c>
      <c r="F369" s="3" t="s">
        <v>1</v>
      </c>
    </row>
    <row r="370" spans="1:6" hidden="1" x14ac:dyDescent="0.25">
      <c r="A370" s="3"/>
      <c r="B370" s="3"/>
      <c r="C370" s="34"/>
      <c r="D370" s="43" t="s">
        <v>351</v>
      </c>
      <c r="E370" s="37">
        <v>0</v>
      </c>
      <c r="F370" s="36" t="s">
        <v>1</v>
      </c>
    </row>
    <row r="371" spans="1:6" x14ac:dyDescent="0.25">
      <c r="A371" s="125">
        <v>3</v>
      </c>
      <c r="B371" s="125">
        <v>4</v>
      </c>
      <c r="C371" s="125"/>
      <c r="D371" s="16" t="s">
        <v>63</v>
      </c>
      <c r="E371" s="126">
        <f>E372+E373+E376</f>
        <v>22000000</v>
      </c>
      <c r="F371" s="125"/>
    </row>
    <row r="372" spans="1:6" ht="16.5" hidden="1" customHeight="1" x14ac:dyDescent="0.25">
      <c r="A372" s="5">
        <v>3</v>
      </c>
      <c r="B372" s="5">
        <v>4</v>
      </c>
      <c r="C372" s="53" t="s">
        <v>85</v>
      </c>
      <c r="D372" s="12" t="s">
        <v>352</v>
      </c>
      <c r="E372" s="54"/>
      <c r="F372" s="46"/>
    </row>
    <row r="373" spans="1:6" s="188" customFormat="1" x14ac:dyDescent="0.25">
      <c r="A373" s="3">
        <v>3</v>
      </c>
      <c r="B373" s="3">
        <v>4</v>
      </c>
      <c r="C373" s="132" t="s">
        <v>89</v>
      </c>
      <c r="D373" s="2" t="s">
        <v>64</v>
      </c>
      <c r="E373" s="35">
        <f>SUM(E374:E375)</f>
        <v>5000000</v>
      </c>
      <c r="F373" s="3" t="s">
        <v>2</v>
      </c>
    </row>
    <row r="374" spans="1:6" ht="14.25" hidden="1" customHeight="1" x14ac:dyDescent="0.25">
      <c r="A374" s="5"/>
      <c r="B374" s="5"/>
      <c r="C374" s="47"/>
      <c r="D374" s="71" t="s">
        <v>353</v>
      </c>
      <c r="E374" s="50">
        <v>0</v>
      </c>
      <c r="F374" s="42" t="s">
        <v>0</v>
      </c>
    </row>
    <row r="375" spans="1:6" ht="11.25" customHeight="1" x14ac:dyDescent="0.25">
      <c r="A375" s="5"/>
      <c r="B375" s="5"/>
      <c r="C375" s="47"/>
      <c r="D375" s="71" t="s">
        <v>353</v>
      </c>
      <c r="E375" s="50">
        <v>5000000</v>
      </c>
      <c r="F375" s="42" t="s">
        <v>2</v>
      </c>
    </row>
    <row r="376" spans="1:6" x14ac:dyDescent="0.25">
      <c r="A376" s="5">
        <v>3</v>
      </c>
      <c r="B376" s="5">
        <v>4</v>
      </c>
      <c r="C376" s="53" t="s">
        <v>98</v>
      </c>
      <c r="D376" s="127" t="s">
        <v>65</v>
      </c>
      <c r="E376" s="54">
        <f>SUM(E377:E378)</f>
        <v>17000000</v>
      </c>
      <c r="F376" s="5"/>
    </row>
    <row r="377" spans="1:6" x14ac:dyDescent="0.25">
      <c r="A377" s="5"/>
      <c r="B377" s="5"/>
      <c r="C377" s="47"/>
      <c r="D377" s="71" t="s">
        <v>354</v>
      </c>
      <c r="E377" s="50">
        <v>17000000</v>
      </c>
      <c r="F377" s="42" t="s">
        <v>1</v>
      </c>
    </row>
    <row r="378" spans="1:6" hidden="1" x14ac:dyDescent="0.25">
      <c r="A378" s="5"/>
      <c r="B378" s="5"/>
      <c r="C378" s="47"/>
      <c r="D378" s="71"/>
      <c r="E378" s="50">
        <v>0</v>
      </c>
      <c r="F378" s="42" t="s">
        <v>6</v>
      </c>
    </row>
    <row r="379" spans="1:6" x14ac:dyDescent="0.25">
      <c r="A379" s="128">
        <v>4</v>
      </c>
      <c r="B379" s="129"/>
      <c r="C379" s="129"/>
      <c r="D379" s="14" t="s">
        <v>66</v>
      </c>
      <c r="E379" s="130">
        <f>E380+E385+E398+E403+E411+E418+E422</f>
        <v>107300000</v>
      </c>
      <c r="F379" s="129"/>
    </row>
    <row r="380" spans="1:6" hidden="1" x14ac:dyDescent="0.25">
      <c r="A380" s="125">
        <v>4</v>
      </c>
      <c r="B380" s="125">
        <v>1</v>
      </c>
      <c r="C380" s="125"/>
      <c r="D380" s="16" t="s">
        <v>355</v>
      </c>
      <c r="E380" s="126">
        <f>E381+E383</f>
        <v>0</v>
      </c>
      <c r="F380" s="125" t="s">
        <v>3</v>
      </c>
    </row>
    <row r="381" spans="1:6" hidden="1" x14ac:dyDescent="0.25">
      <c r="A381" s="5">
        <v>4</v>
      </c>
      <c r="B381" s="5">
        <v>1</v>
      </c>
      <c r="C381" s="53" t="s">
        <v>122</v>
      </c>
      <c r="D381" s="12" t="s">
        <v>356</v>
      </c>
      <c r="E381" s="75">
        <v>0</v>
      </c>
      <c r="F381" s="46"/>
    </row>
    <row r="382" spans="1:6" hidden="1" x14ac:dyDescent="0.25">
      <c r="A382" s="5"/>
      <c r="B382" s="5"/>
      <c r="C382" s="53"/>
      <c r="D382" s="12"/>
      <c r="E382" s="75"/>
      <c r="F382" s="46"/>
    </row>
    <row r="383" spans="1:6" ht="30" hidden="1" x14ac:dyDescent="0.25">
      <c r="A383" s="3">
        <v>4</v>
      </c>
      <c r="B383" s="3">
        <v>1</v>
      </c>
      <c r="C383" s="34" t="s">
        <v>125</v>
      </c>
      <c r="D383" s="2" t="s">
        <v>357</v>
      </c>
      <c r="E383" s="109">
        <f>SUM(E384:E384)</f>
        <v>0</v>
      </c>
      <c r="F383" s="97"/>
    </row>
    <row r="384" spans="1:6" hidden="1" x14ac:dyDescent="0.25">
      <c r="A384" s="5"/>
      <c r="B384" s="5"/>
      <c r="C384" s="53"/>
      <c r="D384" s="12"/>
      <c r="E384" s="75"/>
      <c r="F384" s="46"/>
    </row>
    <row r="385" spans="1:6" x14ac:dyDescent="0.25">
      <c r="A385" s="125">
        <v>4</v>
      </c>
      <c r="B385" s="125">
        <v>2</v>
      </c>
      <c r="C385" s="131"/>
      <c r="D385" s="16" t="s">
        <v>67</v>
      </c>
      <c r="E385" s="126">
        <f>E386+E388+E392+E394</f>
        <v>97300000</v>
      </c>
      <c r="F385" s="125" t="s">
        <v>3</v>
      </c>
    </row>
    <row r="386" spans="1:6" ht="30" x14ac:dyDescent="0.25">
      <c r="A386" s="3">
        <v>4</v>
      </c>
      <c r="B386" s="97">
        <v>2</v>
      </c>
      <c r="C386" s="132" t="s">
        <v>85</v>
      </c>
      <c r="D386" s="107" t="s">
        <v>358</v>
      </c>
      <c r="E386" s="35">
        <v>22300000</v>
      </c>
      <c r="F386" s="76" t="s">
        <v>3</v>
      </c>
    </row>
    <row r="387" spans="1:6" hidden="1" x14ac:dyDescent="0.25">
      <c r="A387" s="5"/>
      <c r="B387" s="46"/>
      <c r="C387" s="47"/>
      <c r="D387" s="71" t="s">
        <v>359</v>
      </c>
      <c r="E387" s="37">
        <v>25000000</v>
      </c>
      <c r="F387" s="76" t="s">
        <v>3</v>
      </c>
    </row>
    <row r="388" spans="1:6" ht="30" x14ac:dyDescent="0.25">
      <c r="A388" s="3">
        <v>4</v>
      </c>
      <c r="B388" s="3">
        <v>2</v>
      </c>
      <c r="C388" s="34" t="s">
        <v>89</v>
      </c>
      <c r="D388" s="2" t="s">
        <v>68</v>
      </c>
      <c r="E388" s="35">
        <v>75000000</v>
      </c>
      <c r="F388" s="76" t="s">
        <v>3</v>
      </c>
    </row>
    <row r="389" spans="1:6" x14ac:dyDescent="0.25">
      <c r="A389" s="3"/>
      <c r="B389" s="97"/>
      <c r="C389" s="132"/>
      <c r="D389" s="43" t="s">
        <v>421</v>
      </c>
      <c r="E389" s="50">
        <v>72300000</v>
      </c>
      <c r="F389" s="42"/>
    </row>
    <row r="390" spans="1:6" hidden="1" x14ac:dyDescent="0.25">
      <c r="A390" s="133"/>
      <c r="B390" s="134"/>
      <c r="C390" s="135"/>
      <c r="D390" s="136" t="s">
        <v>360</v>
      </c>
      <c r="E390" s="137">
        <v>0</v>
      </c>
      <c r="F390" s="138"/>
    </row>
    <row r="391" spans="1:6" hidden="1" x14ac:dyDescent="0.25">
      <c r="A391" s="5"/>
      <c r="B391" s="46"/>
      <c r="C391" s="47"/>
      <c r="D391" s="71" t="s">
        <v>361</v>
      </c>
      <c r="E391" s="50">
        <v>0</v>
      </c>
      <c r="F391" s="42"/>
    </row>
    <row r="392" spans="1:6" hidden="1" x14ac:dyDescent="0.25">
      <c r="A392" s="3">
        <v>4</v>
      </c>
      <c r="B392" s="97">
        <v>2</v>
      </c>
      <c r="C392" s="132" t="s">
        <v>98</v>
      </c>
      <c r="D392" s="107" t="s">
        <v>362</v>
      </c>
      <c r="E392" s="35">
        <f>E393</f>
        <v>0</v>
      </c>
      <c r="F392" s="3" t="s">
        <v>3</v>
      </c>
    </row>
    <row r="393" spans="1:6" hidden="1" x14ac:dyDescent="0.25">
      <c r="A393" s="5"/>
      <c r="B393" s="46"/>
      <c r="C393" s="47"/>
      <c r="D393" s="71" t="s">
        <v>363</v>
      </c>
      <c r="E393" s="50">
        <v>0</v>
      </c>
      <c r="F393" s="42" t="s">
        <v>3</v>
      </c>
    </row>
    <row r="394" spans="1:6" ht="30" hidden="1" x14ac:dyDescent="0.25">
      <c r="A394" s="3">
        <v>4</v>
      </c>
      <c r="B394" s="97">
        <v>2</v>
      </c>
      <c r="C394" s="132" t="s">
        <v>122</v>
      </c>
      <c r="D394" s="107" t="s">
        <v>364</v>
      </c>
      <c r="E394" s="35">
        <f>SUM(E395:E397)</f>
        <v>0</v>
      </c>
      <c r="F394" s="76" t="s">
        <v>3</v>
      </c>
    </row>
    <row r="395" spans="1:6" hidden="1" x14ac:dyDescent="0.25">
      <c r="A395" s="5"/>
      <c r="B395" s="46"/>
      <c r="C395" s="47"/>
      <c r="D395" s="71" t="s">
        <v>365</v>
      </c>
      <c r="E395" s="50">
        <v>0</v>
      </c>
      <c r="F395" s="42"/>
    </row>
    <row r="396" spans="1:6" hidden="1" x14ac:dyDescent="0.25">
      <c r="A396" s="5"/>
      <c r="B396" s="46"/>
      <c r="C396" s="47"/>
      <c r="D396" s="71"/>
      <c r="E396" s="50"/>
      <c r="F396" s="42"/>
    </row>
    <row r="397" spans="1:6" hidden="1" x14ac:dyDescent="0.25">
      <c r="A397" s="5"/>
      <c r="B397" s="46"/>
      <c r="C397" s="47"/>
      <c r="D397" s="71"/>
      <c r="E397" s="50"/>
      <c r="F397" s="42"/>
    </row>
    <row r="398" spans="1:6" x14ac:dyDescent="0.25">
      <c r="A398" s="125">
        <v>4</v>
      </c>
      <c r="B398" s="125">
        <v>3</v>
      </c>
      <c r="C398" s="125"/>
      <c r="D398" s="16" t="s">
        <v>69</v>
      </c>
      <c r="E398" s="126">
        <f>SUM(E399:E402)</f>
        <v>5000000</v>
      </c>
      <c r="F398" s="125" t="s">
        <v>0</v>
      </c>
    </row>
    <row r="399" spans="1:6" x14ac:dyDescent="0.25">
      <c r="A399" s="5">
        <v>4</v>
      </c>
      <c r="B399" s="5">
        <v>3</v>
      </c>
      <c r="C399" s="47" t="s">
        <v>85</v>
      </c>
      <c r="D399" s="17" t="s">
        <v>70</v>
      </c>
      <c r="E399" s="91">
        <v>2000000</v>
      </c>
      <c r="F399" s="46" t="s">
        <v>0</v>
      </c>
    </row>
    <row r="400" spans="1:6" x14ac:dyDescent="0.25">
      <c r="A400" s="5">
        <v>4</v>
      </c>
      <c r="B400" s="5">
        <v>3</v>
      </c>
      <c r="C400" s="47" t="s">
        <v>89</v>
      </c>
      <c r="D400" s="17" t="s">
        <v>71</v>
      </c>
      <c r="E400" s="91">
        <v>1000000</v>
      </c>
      <c r="F400" s="46" t="s">
        <v>0</v>
      </c>
    </row>
    <row r="401" spans="1:6" x14ac:dyDescent="0.25">
      <c r="A401" s="5"/>
      <c r="B401" s="5"/>
      <c r="C401" s="47"/>
      <c r="D401" s="17" t="s">
        <v>71</v>
      </c>
      <c r="E401" s="91">
        <v>1000000</v>
      </c>
      <c r="F401" s="46" t="s">
        <v>1</v>
      </c>
    </row>
    <row r="402" spans="1:6" x14ac:dyDescent="0.25">
      <c r="A402" s="5">
        <v>4</v>
      </c>
      <c r="B402" s="5">
        <v>3</v>
      </c>
      <c r="C402" s="47" t="s">
        <v>98</v>
      </c>
      <c r="D402" s="17" t="s">
        <v>72</v>
      </c>
      <c r="E402" s="91">
        <v>1000000</v>
      </c>
      <c r="F402" s="46" t="s">
        <v>1</v>
      </c>
    </row>
    <row r="403" spans="1:6" ht="30" x14ac:dyDescent="0.25">
      <c r="A403" s="121">
        <v>4</v>
      </c>
      <c r="B403" s="121">
        <v>4</v>
      </c>
      <c r="C403" s="139"/>
      <c r="D403" s="140" t="s">
        <v>73</v>
      </c>
      <c r="E403" s="122">
        <f>E404+E407+E409</f>
        <v>5000000</v>
      </c>
      <c r="F403" s="121" t="s">
        <v>3</v>
      </c>
    </row>
    <row r="404" spans="1:6" x14ac:dyDescent="0.25">
      <c r="A404" s="5">
        <v>4</v>
      </c>
      <c r="B404" s="5">
        <v>4</v>
      </c>
      <c r="C404" s="47" t="s">
        <v>85</v>
      </c>
      <c r="D404" s="12" t="s">
        <v>74</v>
      </c>
      <c r="E404" s="54">
        <f>SUM(E405:E406)</f>
        <v>5000000</v>
      </c>
      <c r="F404" s="46" t="s">
        <v>3</v>
      </c>
    </row>
    <row r="405" spans="1:6" x14ac:dyDescent="0.25">
      <c r="A405" s="5"/>
      <c r="B405" s="5"/>
      <c r="C405" s="47"/>
      <c r="D405" s="71" t="s">
        <v>366</v>
      </c>
      <c r="E405" s="50">
        <v>5000000</v>
      </c>
      <c r="F405" s="42" t="s">
        <v>3</v>
      </c>
    </row>
    <row r="406" spans="1:6" hidden="1" x14ac:dyDescent="0.25">
      <c r="A406" s="5"/>
      <c r="B406" s="5"/>
      <c r="C406" s="47"/>
      <c r="D406" s="71"/>
      <c r="E406" s="50"/>
      <c r="F406" s="42"/>
    </row>
    <row r="407" spans="1:6" hidden="1" x14ac:dyDescent="0.25">
      <c r="A407" s="5">
        <v>4</v>
      </c>
      <c r="B407" s="5">
        <v>4</v>
      </c>
      <c r="C407" s="47" t="s">
        <v>89</v>
      </c>
      <c r="D407" s="12" t="s">
        <v>367</v>
      </c>
      <c r="E407" s="54">
        <f>E408</f>
        <v>0</v>
      </c>
      <c r="F407" s="46" t="s">
        <v>3</v>
      </c>
    </row>
    <row r="408" spans="1:6" hidden="1" x14ac:dyDescent="0.25">
      <c r="A408" s="5"/>
      <c r="B408" s="5"/>
      <c r="C408" s="47"/>
      <c r="D408" s="71"/>
      <c r="E408" s="50"/>
      <c r="F408" s="42"/>
    </row>
    <row r="409" spans="1:6" hidden="1" x14ac:dyDescent="0.25">
      <c r="A409" s="5">
        <v>4</v>
      </c>
      <c r="B409" s="5">
        <v>4</v>
      </c>
      <c r="C409" s="47" t="s">
        <v>98</v>
      </c>
      <c r="D409" s="12" t="s">
        <v>368</v>
      </c>
      <c r="E409" s="54">
        <f>SUM(E410)</f>
        <v>0</v>
      </c>
      <c r="F409" s="46" t="s">
        <v>3</v>
      </c>
    </row>
    <row r="410" spans="1:6" hidden="1" x14ac:dyDescent="0.25">
      <c r="A410" s="5"/>
      <c r="B410" s="5"/>
      <c r="C410" s="47"/>
      <c r="D410" s="12"/>
      <c r="E410" s="54"/>
      <c r="F410" s="46"/>
    </row>
    <row r="411" spans="1:6" hidden="1" x14ac:dyDescent="0.25">
      <c r="A411" s="125">
        <v>4</v>
      </c>
      <c r="B411" s="125">
        <v>5</v>
      </c>
      <c r="C411" s="125"/>
      <c r="D411" s="16" t="s">
        <v>369</v>
      </c>
      <c r="E411" s="126">
        <f>E412+E414+E416</f>
        <v>0</v>
      </c>
      <c r="F411" s="125" t="s">
        <v>3</v>
      </c>
    </row>
    <row r="412" spans="1:6" hidden="1" x14ac:dyDescent="0.25">
      <c r="A412" s="3">
        <v>4</v>
      </c>
      <c r="B412" s="3">
        <v>5</v>
      </c>
      <c r="C412" s="132" t="s">
        <v>85</v>
      </c>
      <c r="D412" s="2" t="s">
        <v>370</v>
      </c>
      <c r="E412" s="35">
        <f>E413</f>
        <v>0</v>
      </c>
      <c r="F412" s="97"/>
    </row>
    <row r="413" spans="1:6" hidden="1" x14ac:dyDescent="0.25">
      <c r="A413" s="5"/>
      <c r="B413" s="5"/>
      <c r="C413" s="47"/>
      <c r="D413" s="12"/>
      <c r="E413" s="54"/>
      <c r="F413" s="46"/>
    </row>
    <row r="414" spans="1:6" hidden="1" x14ac:dyDescent="0.25">
      <c r="A414" s="3">
        <v>4</v>
      </c>
      <c r="B414" s="3">
        <v>5</v>
      </c>
      <c r="C414" s="132" t="s">
        <v>89</v>
      </c>
      <c r="D414" s="2" t="s">
        <v>371</v>
      </c>
      <c r="E414" s="35">
        <f>E415</f>
        <v>0</v>
      </c>
      <c r="F414" s="97"/>
    </row>
    <row r="415" spans="1:6" hidden="1" x14ac:dyDescent="0.25">
      <c r="A415" s="3"/>
      <c r="B415" s="3"/>
      <c r="C415" s="132"/>
      <c r="D415" s="2"/>
      <c r="E415" s="35"/>
      <c r="F415" s="97"/>
    </row>
    <row r="416" spans="1:6" ht="30" hidden="1" x14ac:dyDescent="0.25">
      <c r="A416" s="3">
        <v>4</v>
      </c>
      <c r="B416" s="3">
        <v>5</v>
      </c>
      <c r="C416" s="132" t="s">
        <v>98</v>
      </c>
      <c r="D416" s="2" t="s">
        <v>372</v>
      </c>
      <c r="E416" s="35">
        <f>E417</f>
        <v>0</v>
      </c>
      <c r="F416" s="97"/>
    </row>
    <row r="417" spans="1:6" hidden="1" x14ac:dyDescent="0.25">
      <c r="A417" s="3"/>
      <c r="B417" s="3"/>
      <c r="C417" s="132"/>
      <c r="D417" s="2"/>
      <c r="E417" s="35"/>
      <c r="F417" s="97"/>
    </row>
    <row r="418" spans="1:6" hidden="1" x14ac:dyDescent="0.25">
      <c r="A418" s="125">
        <v>4</v>
      </c>
      <c r="B418" s="125">
        <v>6</v>
      </c>
      <c r="C418" s="125"/>
      <c r="D418" s="16" t="s">
        <v>373</v>
      </c>
      <c r="E418" s="126">
        <f>E419</f>
        <v>0</v>
      </c>
      <c r="F418" s="125" t="s">
        <v>3</v>
      </c>
    </row>
    <row r="419" spans="1:6" hidden="1" x14ac:dyDescent="0.25">
      <c r="A419" s="3">
        <v>4</v>
      </c>
      <c r="B419" s="3">
        <v>6</v>
      </c>
      <c r="C419" s="132" t="s">
        <v>89</v>
      </c>
      <c r="D419" s="2" t="s">
        <v>374</v>
      </c>
      <c r="E419" s="109">
        <f>SUM(E420:E421)</f>
        <v>0</v>
      </c>
      <c r="F419" s="97"/>
    </row>
    <row r="420" spans="1:6" hidden="1" x14ac:dyDescent="0.25">
      <c r="A420" s="5"/>
      <c r="B420" s="5"/>
      <c r="C420" s="46"/>
      <c r="D420" s="12"/>
      <c r="E420" s="75"/>
      <c r="F420" s="46"/>
    </row>
    <row r="421" spans="1:6" hidden="1" x14ac:dyDescent="0.25">
      <c r="A421" s="5"/>
      <c r="B421" s="5"/>
      <c r="C421" s="47"/>
      <c r="D421" s="71"/>
      <c r="E421" s="50"/>
      <c r="F421" s="42"/>
    </row>
    <row r="422" spans="1:6" hidden="1" x14ac:dyDescent="0.25">
      <c r="A422" s="125">
        <v>4</v>
      </c>
      <c r="B422" s="125">
        <v>7</v>
      </c>
      <c r="C422" s="125"/>
      <c r="D422" s="16" t="s">
        <v>375</v>
      </c>
      <c r="E422" s="126">
        <f>E423+E426</f>
        <v>0</v>
      </c>
      <c r="F422" s="125"/>
    </row>
    <row r="423" spans="1:6" ht="30" hidden="1" x14ac:dyDescent="0.25">
      <c r="A423" s="3">
        <v>4</v>
      </c>
      <c r="B423" s="3">
        <v>7</v>
      </c>
      <c r="C423" s="34" t="s">
        <v>89</v>
      </c>
      <c r="D423" s="2" t="s">
        <v>376</v>
      </c>
      <c r="E423" s="35">
        <f>SUM(E424:E425)</f>
        <v>0</v>
      </c>
      <c r="F423" s="3" t="s">
        <v>3</v>
      </c>
    </row>
    <row r="424" spans="1:6" hidden="1" x14ac:dyDescent="0.25">
      <c r="A424" s="46"/>
      <c r="B424" s="46"/>
      <c r="C424" s="46"/>
      <c r="D424" s="71" t="s">
        <v>377</v>
      </c>
      <c r="E424" s="50">
        <v>0</v>
      </c>
      <c r="F424" s="42" t="s">
        <v>3</v>
      </c>
    </row>
    <row r="425" spans="1:6" hidden="1" x14ac:dyDescent="0.25">
      <c r="A425" s="46"/>
      <c r="B425" s="46"/>
      <c r="C425" s="46"/>
      <c r="D425" s="71"/>
      <c r="E425" s="50"/>
      <c r="F425" s="42"/>
    </row>
    <row r="426" spans="1:6" ht="30" hidden="1" x14ac:dyDescent="0.25">
      <c r="A426" s="3">
        <v>4</v>
      </c>
      <c r="B426" s="3">
        <v>7</v>
      </c>
      <c r="C426" s="34" t="s">
        <v>109</v>
      </c>
      <c r="D426" s="2" t="s">
        <v>378</v>
      </c>
      <c r="E426" s="35">
        <f>SUM(E427:E428)</f>
        <v>0</v>
      </c>
      <c r="F426" s="3" t="s">
        <v>3</v>
      </c>
    </row>
    <row r="427" spans="1:6" hidden="1" x14ac:dyDescent="0.25">
      <c r="A427" s="46"/>
      <c r="B427" s="46"/>
      <c r="C427" s="46"/>
      <c r="D427" s="71" t="s">
        <v>379</v>
      </c>
      <c r="E427" s="50">
        <v>0</v>
      </c>
      <c r="F427" s="42"/>
    </row>
    <row r="428" spans="1:6" hidden="1" x14ac:dyDescent="0.25">
      <c r="A428" s="46"/>
      <c r="B428" s="46"/>
      <c r="C428" s="46"/>
      <c r="D428" s="71"/>
      <c r="E428" s="50"/>
      <c r="F428" s="42"/>
    </row>
    <row r="429" spans="1:6" ht="27" x14ac:dyDescent="0.25">
      <c r="A429" s="141">
        <v>5</v>
      </c>
      <c r="B429" s="141"/>
      <c r="C429" s="141"/>
      <c r="D429" s="18" t="s">
        <v>75</v>
      </c>
      <c r="E429" s="142">
        <f>E430+E432+E434</f>
        <v>186000000</v>
      </c>
      <c r="F429" s="141"/>
    </row>
    <row r="430" spans="1:6" x14ac:dyDescent="0.25">
      <c r="A430" s="19">
        <v>5</v>
      </c>
      <c r="B430" s="19">
        <v>1</v>
      </c>
      <c r="C430" s="19"/>
      <c r="D430" s="19" t="s">
        <v>76</v>
      </c>
      <c r="E430" s="143">
        <f>E431</f>
        <v>6000000</v>
      </c>
      <c r="F430" s="19"/>
    </row>
    <row r="431" spans="1:6" x14ac:dyDescent="0.25">
      <c r="A431" s="46">
        <v>5</v>
      </c>
      <c r="B431" s="46">
        <v>1</v>
      </c>
      <c r="C431" s="47" t="s">
        <v>380</v>
      </c>
      <c r="D431" s="46" t="s">
        <v>381</v>
      </c>
      <c r="E431" s="75">
        <v>6000000</v>
      </c>
      <c r="F431" s="46" t="s">
        <v>3</v>
      </c>
    </row>
    <row r="432" spans="1:6" x14ac:dyDescent="0.25">
      <c r="A432" s="19">
        <v>5</v>
      </c>
      <c r="B432" s="19">
        <v>2</v>
      </c>
      <c r="C432" s="19"/>
      <c r="D432" s="19" t="s">
        <v>77</v>
      </c>
      <c r="E432" s="143">
        <f>E433</f>
        <v>0</v>
      </c>
      <c r="F432" s="19"/>
    </row>
    <row r="433" spans="1:9" x14ac:dyDescent="0.25">
      <c r="A433" s="46">
        <v>5</v>
      </c>
      <c r="B433" s="46">
        <v>2</v>
      </c>
      <c r="C433" s="47" t="s">
        <v>380</v>
      </c>
      <c r="D433" s="46" t="s">
        <v>382</v>
      </c>
      <c r="E433" s="75">
        <v>0</v>
      </c>
      <c r="F433" s="46" t="s">
        <v>9</v>
      </c>
    </row>
    <row r="434" spans="1:9" x14ac:dyDescent="0.25">
      <c r="A434" s="19">
        <v>5</v>
      </c>
      <c r="B434" s="19">
        <v>3</v>
      </c>
      <c r="C434" s="19"/>
      <c r="D434" s="19" t="s">
        <v>78</v>
      </c>
      <c r="E434" s="143">
        <f>E435</f>
        <v>180000000</v>
      </c>
      <c r="F434" s="19"/>
    </row>
    <row r="435" spans="1:9" x14ac:dyDescent="0.25">
      <c r="A435" s="46">
        <v>5</v>
      </c>
      <c r="B435" s="46">
        <v>3</v>
      </c>
      <c r="C435" s="47" t="s">
        <v>380</v>
      </c>
      <c r="D435" s="46" t="s">
        <v>383</v>
      </c>
      <c r="E435" s="75">
        <f>SUM(E436:E436)</f>
        <v>180000000</v>
      </c>
      <c r="F435" s="46" t="s">
        <v>3</v>
      </c>
      <c r="H435" s="173">
        <f>E436/M5*100</f>
        <v>20.639314224386037</v>
      </c>
      <c r="I435" t="s">
        <v>397</v>
      </c>
    </row>
    <row r="436" spans="1:9" x14ac:dyDescent="0.25">
      <c r="A436" s="46"/>
      <c r="B436" s="46"/>
      <c r="C436" s="47"/>
      <c r="D436" s="55" t="s">
        <v>384</v>
      </c>
      <c r="E436" s="50">
        <v>180000000</v>
      </c>
      <c r="F436" s="42"/>
      <c r="H436" s="189">
        <f>E436/3600000</f>
        <v>50</v>
      </c>
      <c r="I436" t="s">
        <v>420</v>
      </c>
    </row>
    <row r="437" spans="1:9" x14ac:dyDescent="0.25">
      <c r="A437" s="144"/>
      <c r="B437" s="144"/>
      <c r="C437" s="144"/>
      <c r="D437" s="144" t="s">
        <v>385</v>
      </c>
      <c r="E437" s="145">
        <f>E438</f>
        <v>10000000</v>
      </c>
      <c r="F437" s="144"/>
    </row>
    <row r="438" spans="1:9" x14ac:dyDescent="0.25">
      <c r="A438" s="46"/>
      <c r="B438" s="46"/>
      <c r="C438" s="46"/>
      <c r="D438" s="46" t="s">
        <v>386</v>
      </c>
      <c r="E438" s="146">
        <v>10000000</v>
      </c>
      <c r="F438" s="46" t="s">
        <v>3</v>
      </c>
    </row>
    <row r="441" spans="1:9" x14ac:dyDescent="0.25">
      <c r="D441" s="192" t="s">
        <v>392</v>
      </c>
      <c r="E441" s="191">
        <f>E4+E143+E322+E379+E429</f>
        <v>2357031780</v>
      </c>
    </row>
    <row r="442" spans="1:9" x14ac:dyDescent="0.25">
      <c r="D442" s="192" t="s">
        <v>422</v>
      </c>
      <c r="E442" s="191">
        <f>E441+E437</f>
        <v>2367031780</v>
      </c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7716535433070868" header="0.31496062992125984" footer="0.31496062992125984"/>
  <pageSetup paperSize="5" scale="8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76"/>
  <sheetViews>
    <sheetView view="pageBreakPreview" topLeftCell="A223" zoomScaleNormal="100" zoomScaleSheetLayoutView="100" workbookViewId="0">
      <selection activeCell="D272" sqref="D272"/>
    </sheetView>
  </sheetViews>
  <sheetFormatPr defaultRowHeight="15" x14ac:dyDescent="0.25"/>
  <cols>
    <col min="1" max="1" width="3.5703125" customWidth="1"/>
    <col min="2" max="3" width="4.5703125" customWidth="1"/>
    <col min="4" max="4" width="58.7109375" customWidth="1"/>
    <col min="5" max="5" width="16.5703125" customWidth="1"/>
    <col min="6" max="6" width="14.85546875" customWidth="1"/>
    <col min="7" max="7" width="14.28515625" bestFit="1" customWidth="1"/>
    <col min="8" max="8" width="16.28515625" style="164" bestFit="1" customWidth="1"/>
    <col min="9" max="9" width="17.140625" style="164" customWidth="1"/>
    <col min="10" max="10" width="14.140625" customWidth="1"/>
    <col min="11" max="11" width="16.140625" customWidth="1"/>
    <col min="12" max="12" width="15.85546875" customWidth="1"/>
    <col min="13" max="13" width="15.140625" customWidth="1"/>
    <col min="14" max="14" width="13.140625" customWidth="1"/>
    <col min="15" max="15" width="14" customWidth="1"/>
    <col min="16" max="16" width="12.42578125" customWidth="1"/>
    <col min="17" max="17" width="15.42578125" bestFit="1" customWidth="1"/>
  </cols>
  <sheetData>
    <row r="1" spans="1:19" x14ac:dyDescent="0.25">
      <c r="A1" s="377" t="s">
        <v>668</v>
      </c>
      <c r="B1" s="377"/>
      <c r="C1" s="377"/>
      <c r="D1" s="377"/>
      <c r="E1" s="377"/>
      <c r="F1" s="377"/>
    </row>
    <row r="2" spans="1:19" x14ac:dyDescent="0.25">
      <c r="A2" s="378"/>
      <c r="B2" s="378"/>
      <c r="C2" s="378"/>
      <c r="D2" s="378"/>
      <c r="E2" s="378"/>
      <c r="F2" s="378"/>
      <c r="H2" s="164">
        <f>E11-E14-E18</f>
        <v>414634572</v>
      </c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331" t="s">
        <v>80</v>
      </c>
    </row>
    <row r="4" spans="1:19" x14ac:dyDescent="0.25">
      <c r="A4" s="7">
        <v>1</v>
      </c>
      <c r="B4" s="7"/>
      <c r="C4" s="7"/>
      <c r="D4" s="7" t="s">
        <v>21</v>
      </c>
      <c r="E4" s="31">
        <f>E5+E80+E98+E118+E148</f>
        <v>1121063134.1300001</v>
      </c>
      <c r="F4" s="32"/>
      <c r="H4" s="333" t="s">
        <v>387</v>
      </c>
      <c r="I4" s="151" t="s">
        <v>0</v>
      </c>
      <c r="J4" s="148" t="s">
        <v>1</v>
      </c>
      <c r="K4" s="148" t="s">
        <v>2</v>
      </c>
      <c r="L4" s="332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1932556814.3499999</v>
      </c>
      <c r="S4" s="150"/>
    </row>
    <row r="5" spans="1:19" ht="32.25" customHeight="1" x14ac:dyDescent="0.25">
      <c r="A5" s="8">
        <v>1</v>
      </c>
      <c r="B5" s="8">
        <v>1</v>
      </c>
      <c r="C5" s="8"/>
      <c r="D5" s="6" t="s">
        <v>20</v>
      </c>
      <c r="E5" s="33">
        <f>E6+E11+E19+E33+E53+E56+E61+E72+E75</f>
        <v>807834868</v>
      </c>
      <c r="F5" s="8"/>
      <c r="H5" s="333" t="s">
        <v>391</v>
      </c>
      <c r="I5" s="151">
        <v>646789600</v>
      </c>
      <c r="J5" s="151">
        <v>158141453.44999999</v>
      </c>
      <c r="K5" s="151">
        <v>28771760.899999999</v>
      </c>
      <c r="L5" s="151">
        <v>59479031</v>
      </c>
      <c r="M5" s="151">
        <v>863354000</v>
      </c>
      <c r="N5" s="152">
        <v>5000000</v>
      </c>
      <c r="O5" s="152">
        <v>70500000</v>
      </c>
      <c r="P5" s="153">
        <v>165000000</v>
      </c>
      <c r="Q5" s="154">
        <f>SUM(I5:P5)</f>
        <v>1997035845.3499999</v>
      </c>
    </row>
    <row r="6" spans="1:19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79360496</v>
      </c>
      <c r="F6" s="3" t="s">
        <v>0</v>
      </c>
      <c r="H6" s="333" t="s">
        <v>392</v>
      </c>
      <c r="I6" s="151">
        <f>E7+E8+E12+E13+E15+E16+E17+E19+E36+E38+E40+E41+E48+E49+E54+E83+E90+E119+E133+E141+E204+E433+E434</f>
        <v>660863134.13</v>
      </c>
      <c r="J6" s="151">
        <f>E43+E45+E47+E50+E57+E60+E82+E86+E88+E89+E91+E99+E111+E123+E127+E128+E129+E138+E149+E152+E172+E362-E366+E377+E380+E401+E403+E107+E410+E435+E436+E439</f>
        <v>183612754.34</v>
      </c>
      <c r="K6" s="151">
        <f>E108+E136+E217+E319+E366+E381+E382++E394+E409+E465+E467</f>
        <v>48172861.280000001</v>
      </c>
      <c r="L6" s="151">
        <f>E9+E14+E18+E34+E37+E42+E44+E46+E55+E58+E59+E176+E180+E207+E338+E346+E347</f>
        <v>54251738.82</v>
      </c>
      <c r="M6" s="151">
        <f>E61+E162-E164+E189+E196+E209+E210+E220+E252+E269+E276+E280+E284+E296+E292+E304+E306+E308+E310+E312+E313+E326+E336+E337+E353+E420+E422+E469</f>
        <v>958677619.25</v>
      </c>
      <c r="N6" s="151">
        <f>E52+E164+E51+E255+E257+E323</f>
        <v>21410534.98</v>
      </c>
      <c r="O6" s="151">
        <f>E72+E75</f>
        <v>70500000</v>
      </c>
      <c r="P6" s="155">
        <f>E94</f>
        <v>220000000</v>
      </c>
      <c r="Q6" s="156">
        <f>SUM(I6:P6)</f>
        <v>2217488642.8000002</v>
      </c>
      <c r="R6" s="79"/>
      <c r="S6" s="157"/>
    </row>
    <row r="7" spans="1:19" x14ac:dyDescent="0.25">
      <c r="A7" s="3"/>
      <c r="B7" s="3"/>
      <c r="C7" s="34"/>
      <c r="D7" s="36" t="s">
        <v>595</v>
      </c>
      <c r="E7" s="37">
        <f>F7*12</f>
        <v>52160496</v>
      </c>
      <c r="F7" s="37">
        <v>4346708</v>
      </c>
      <c r="H7" s="333"/>
      <c r="I7" s="151"/>
      <c r="J7" s="155"/>
      <c r="K7" s="155"/>
      <c r="L7" s="151"/>
      <c r="M7" s="155"/>
      <c r="N7" s="155"/>
      <c r="O7" s="155"/>
      <c r="P7" s="155"/>
      <c r="Q7" s="158">
        <f>Q5-Q6</f>
        <v>-220452797.45000029</v>
      </c>
      <c r="R7" s="79"/>
      <c r="S7" s="79"/>
    </row>
    <row r="8" spans="1:19" x14ac:dyDescent="0.25">
      <c r="A8" s="3"/>
      <c r="B8" s="3"/>
      <c r="C8" s="34"/>
      <c r="D8" s="36" t="s">
        <v>505</v>
      </c>
      <c r="E8" s="37">
        <f>2150000*12</f>
        <v>25800000</v>
      </c>
      <c r="F8" s="37">
        <f>E8/12</f>
        <v>2150000</v>
      </c>
      <c r="H8" s="333" t="s">
        <v>393</v>
      </c>
      <c r="I8" s="152">
        <f>I5-I6</f>
        <v>-14073534.129999995</v>
      </c>
      <c r="J8" s="152">
        <f t="shared" ref="J8:P8" si="0">J5-J6</f>
        <v>-25471300.890000015</v>
      </c>
      <c r="K8" s="152">
        <f t="shared" si="0"/>
        <v>-19401100.380000003</v>
      </c>
      <c r="L8" s="152">
        <f t="shared" si="0"/>
        <v>5227292.18</v>
      </c>
      <c r="M8" s="151">
        <f>M5-M6</f>
        <v>-95323619.25</v>
      </c>
      <c r="N8" s="151">
        <f t="shared" si="0"/>
        <v>-16410534.98</v>
      </c>
      <c r="O8" s="151">
        <f t="shared" si="0"/>
        <v>0</v>
      </c>
      <c r="P8" s="155">
        <f t="shared" si="0"/>
        <v>-55000000</v>
      </c>
      <c r="Q8" s="156"/>
      <c r="R8" s="79"/>
      <c r="S8" s="79"/>
    </row>
    <row r="9" spans="1:19" x14ac:dyDescent="0.25">
      <c r="A9" s="3"/>
      <c r="B9" s="3"/>
      <c r="C9" s="34"/>
      <c r="D9" s="36" t="s">
        <v>88</v>
      </c>
      <c r="E9" s="40">
        <v>1400000</v>
      </c>
      <c r="F9" s="36" t="s">
        <v>6</v>
      </c>
      <c r="H9" s="156"/>
      <c r="I9" s="156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x14ac:dyDescent="0.25">
      <c r="A10" s="3"/>
      <c r="B10" s="3"/>
      <c r="C10" s="34"/>
      <c r="D10" s="38"/>
      <c r="E10" s="37"/>
      <c r="F10" s="3"/>
      <c r="H10" s="265" t="s">
        <v>395</v>
      </c>
      <c r="I10" s="265">
        <f>Q6-P6-O6</f>
        <v>1926988642.8000002</v>
      </c>
      <c r="J10" s="79"/>
      <c r="K10" s="316">
        <f>J5+K5</f>
        <v>186913214.34999999</v>
      </c>
      <c r="L10" s="348">
        <f>L5*20%</f>
        <v>11895806.200000001</v>
      </c>
      <c r="M10" s="79"/>
      <c r="N10" s="157"/>
      <c r="O10" s="157"/>
      <c r="P10" s="79"/>
      <c r="Q10" s="157"/>
      <c r="R10" s="79"/>
      <c r="S10" s="79"/>
    </row>
    <row r="11" spans="1:19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421234572</v>
      </c>
      <c r="F11" s="2" t="s">
        <v>90</v>
      </c>
      <c r="H11" s="181">
        <v>0.3</v>
      </c>
      <c r="I11" s="344">
        <f>I10*30%</f>
        <v>578096592.84000003</v>
      </c>
      <c r="K11" s="162">
        <f>J6+K6</f>
        <v>231785615.62</v>
      </c>
      <c r="L11" s="163">
        <f>L5*10%</f>
        <v>5947903.1000000006</v>
      </c>
      <c r="M11" s="164"/>
      <c r="Q11" s="165"/>
      <c r="R11" s="79"/>
      <c r="S11" s="79"/>
    </row>
    <row r="12" spans="1:19" x14ac:dyDescent="0.25">
      <c r="A12" s="3"/>
      <c r="B12" s="3"/>
      <c r="C12" s="34"/>
      <c r="D12" s="36" t="s">
        <v>596</v>
      </c>
      <c r="E12" s="37">
        <f>3042695*12</f>
        <v>36512340</v>
      </c>
      <c r="F12" s="39" t="s">
        <v>0</v>
      </c>
      <c r="H12" s="181" t="s">
        <v>396</v>
      </c>
      <c r="I12" s="181">
        <f>E5-E19-E33-E61-E72-E75</f>
        <v>565095068</v>
      </c>
      <c r="J12" s="167">
        <f>I12/I10*100</f>
        <v>29.325293125697499</v>
      </c>
      <c r="K12" s="168" t="s">
        <v>397</v>
      </c>
      <c r="L12" s="169"/>
      <c r="M12" s="164"/>
      <c r="O12" s="164"/>
      <c r="P12" s="1"/>
      <c r="Q12" s="1"/>
      <c r="R12" s="79"/>
      <c r="S12" s="79"/>
    </row>
    <row r="13" spans="1:19" x14ac:dyDescent="0.25">
      <c r="A13" s="3"/>
      <c r="B13" s="3"/>
      <c r="C13" s="34"/>
      <c r="D13" s="36" t="s">
        <v>506</v>
      </c>
      <c r="E13" s="37">
        <f>1600000*12</f>
        <v>19200000</v>
      </c>
      <c r="F13" s="39" t="s">
        <v>0</v>
      </c>
      <c r="H13" s="181" t="s">
        <v>398</v>
      </c>
      <c r="I13" s="345">
        <f>I11-I12</f>
        <v>13001524.840000033</v>
      </c>
      <c r="K13" s="171"/>
      <c r="L13" s="169"/>
      <c r="M13" s="164"/>
      <c r="Q13" s="164"/>
      <c r="R13" s="79"/>
      <c r="S13" s="79"/>
    </row>
    <row r="14" spans="1:19" x14ac:dyDescent="0.25">
      <c r="A14" s="3"/>
      <c r="B14" s="3"/>
      <c r="C14" s="34"/>
      <c r="D14" s="36" t="s">
        <v>93</v>
      </c>
      <c r="E14" s="40">
        <v>1200000</v>
      </c>
      <c r="F14" s="39" t="s">
        <v>6</v>
      </c>
      <c r="H14" s="162"/>
      <c r="I14" s="346"/>
      <c r="J14" s="164"/>
      <c r="K14" s="171"/>
      <c r="L14" s="169"/>
      <c r="M14" s="164"/>
      <c r="Q14" s="164"/>
      <c r="R14" s="79"/>
      <c r="S14" s="79"/>
    </row>
    <row r="15" spans="1:19" x14ac:dyDescent="0.25">
      <c r="A15" s="3"/>
      <c r="B15" s="3"/>
      <c r="C15" s="34"/>
      <c r="D15" s="36" t="s">
        <v>597</v>
      </c>
      <c r="E15" s="37">
        <f>2173354*9*12</f>
        <v>234722232</v>
      </c>
      <c r="F15" s="36" t="s">
        <v>0</v>
      </c>
      <c r="M15" s="173"/>
      <c r="N15" s="164"/>
    </row>
    <row r="16" spans="1:19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M16" s="173"/>
      <c r="N16" s="164"/>
    </row>
    <row r="17" spans="1:17" x14ac:dyDescent="0.25">
      <c r="A17" s="3"/>
      <c r="B17" s="3"/>
      <c r="C17" s="34"/>
      <c r="D17" s="36" t="s">
        <v>507</v>
      </c>
      <c r="E17" s="37">
        <f>1150000*9*12</f>
        <v>124200000</v>
      </c>
      <c r="F17" s="36" t="s">
        <v>0</v>
      </c>
      <c r="I17" s="164">
        <f>H17/108</f>
        <v>0</v>
      </c>
      <c r="J17" s="384">
        <f>J19+K19</f>
        <v>44872400</v>
      </c>
      <c r="K17" s="384"/>
    </row>
    <row r="18" spans="1:17" x14ac:dyDescent="0.25">
      <c r="A18" s="3"/>
      <c r="B18" s="3"/>
      <c r="C18" s="34"/>
      <c r="D18" s="36" t="s">
        <v>97</v>
      </c>
      <c r="E18" s="254">
        <v>5400000</v>
      </c>
      <c r="F18" s="42" t="s">
        <v>6</v>
      </c>
      <c r="H18" s="265"/>
      <c r="I18" s="176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SUM(E20:E32)</f>
        <v>20179800</v>
      </c>
      <c r="F19" s="3" t="s">
        <v>0</v>
      </c>
      <c r="H19" s="334" t="s">
        <v>390</v>
      </c>
      <c r="I19" s="176">
        <v>14073534.130000001</v>
      </c>
      <c r="J19" s="177">
        <f>20433800+1909500+3128000</f>
        <v>25471300</v>
      </c>
      <c r="K19" s="177">
        <f>13809500+1847000+3744600</f>
        <v>19401100</v>
      </c>
      <c r="L19" s="177">
        <v>13251738.82</v>
      </c>
      <c r="M19" s="176">
        <v>95323619.25</v>
      </c>
      <c r="N19" s="176">
        <v>16410534.98</v>
      </c>
      <c r="O19" s="176">
        <v>0</v>
      </c>
      <c r="P19" s="178">
        <v>0</v>
      </c>
      <c r="Q19" s="175"/>
    </row>
    <row r="20" spans="1:17" x14ac:dyDescent="0.25">
      <c r="A20" s="3"/>
      <c r="B20" s="3"/>
      <c r="C20" s="34"/>
      <c r="D20" s="43" t="s">
        <v>99</v>
      </c>
      <c r="E20" s="37"/>
      <c r="F20" s="3"/>
      <c r="H20" s="265" t="s">
        <v>399</v>
      </c>
      <c r="I20" s="381">
        <f>SUM(I19:N19)</f>
        <v>183931827.17999998</v>
      </c>
      <c r="J20" s="382"/>
      <c r="K20" s="382"/>
      <c r="L20" s="382"/>
      <c r="M20" s="382"/>
      <c r="N20" s="382"/>
      <c r="O20" s="382"/>
      <c r="P20" s="383"/>
      <c r="Q20" s="179"/>
    </row>
    <row r="21" spans="1:17" x14ac:dyDescent="0.25">
      <c r="A21" s="3"/>
      <c r="B21" s="3"/>
      <c r="C21" s="34"/>
      <c r="D21" s="43" t="s">
        <v>100</v>
      </c>
      <c r="E21" s="37">
        <f>F21*12</f>
        <v>1929936</v>
      </c>
      <c r="F21" s="44">
        <v>160828</v>
      </c>
      <c r="H21" s="335" t="s">
        <v>400</v>
      </c>
      <c r="I21" s="181">
        <f>I8+I19</f>
        <v>0</v>
      </c>
      <c r="J21" s="181">
        <f>J8+J19</f>
        <v>-0.89000001549720764</v>
      </c>
      <c r="K21" s="181">
        <f>K8+K19</f>
        <v>-0.38000000268220901</v>
      </c>
      <c r="L21" s="181">
        <f t="shared" ref="L21:M21" si="1">L8+L19</f>
        <v>18479031</v>
      </c>
      <c r="M21" s="181">
        <f t="shared" si="1"/>
        <v>0</v>
      </c>
      <c r="N21" s="181">
        <f>N8+N19</f>
        <v>0</v>
      </c>
      <c r="O21" s="181"/>
      <c r="P21" s="20"/>
      <c r="Q21" s="171"/>
    </row>
    <row r="22" spans="1:17" x14ac:dyDescent="0.25">
      <c r="A22" s="3"/>
      <c r="B22" s="3"/>
      <c r="C22" s="34"/>
      <c r="D22" s="43" t="s">
        <v>101</v>
      </c>
      <c r="E22" s="37">
        <f t="shared" ref="E22:E28" si="2">F22*12</f>
        <v>1043208</v>
      </c>
      <c r="F22" s="44">
        <v>86934</v>
      </c>
      <c r="H22" s="265" t="s">
        <v>401</v>
      </c>
      <c r="I22" s="181">
        <f>I8+I19</f>
        <v>0</v>
      </c>
      <c r="J22" s="181">
        <f>J8+J19</f>
        <v>-0.89000001549720764</v>
      </c>
      <c r="K22" s="181">
        <f>K8+K19</f>
        <v>-0.38000000268220901</v>
      </c>
      <c r="L22" s="181">
        <f>L8+L19</f>
        <v>18479031</v>
      </c>
      <c r="M22" s="181">
        <f>M8+M19-E471</f>
        <v>0</v>
      </c>
      <c r="N22" s="181">
        <f>N8+N19</f>
        <v>0</v>
      </c>
      <c r="O22" s="181"/>
      <c r="P22" s="20"/>
    </row>
    <row r="23" spans="1:17" x14ac:dyDescent="0.25">
      <c r="A23" s="3"/>
      <c r="B23" s="3"/>
      <c r="C23" s="34"/>
      <c r="D23" s="43" t="s">
        <v>102</v>
      </c>
      <c r="E23" s="37">
        <f t="shared" si="2"/>
        <v>156480</v>
      </c>
      <c r="F23" s="44">
        <v>13040</v>
      </c>
    </row>
    <row r="24" spans="1:17" x14ac:dyDescent="0.25">
      <c r="A24" s="3"/>
      <c r="B24" s="3"/>
      <c r="C24" s="34"/>
      <c r="D24" s="43" t="s">
        <v>103</v>
      </c>
      <c r="E24" s="37">
        <f t="shared" si="2"/>
        <v>125184</v>
      </c>
      <c r="F24" s="44">
        <v>10432</v>
      </c>
      <c r="H24" s="164">
        <f>E21+E22+E23+E24</f>
        <v>3254808</v>
      </c>
    </row>
    <row r="25" spans="1:17" x14ac:dyDescent="0.25">
      <c r="A25" s="3"/>
      <c r="B25" s="3"/>
      <c r="C25" s="34"/>
      <c r="D25" s="43" t="s">
        <v>476</v>
      </c>
      <c r="E25" s="37">
        <f t="shared" si="2"/>
        <v>1350948</v>
      </c>
      <c r="F25" s="44">
        <v>112579</v>
      </c>
      <c r="H25" s="164">
        <f>E19-H24</f>
        <v>16924992</v>
      </c>
      <c r="J25" s="164"/>
    </row>
    <row r="26" spans="1:17" x14ac:dyDescent="0.25">
      <c r="A26" s="3"/>
      <c r="B26" s="3"/>
      <c r="C26" s="34"/>
      <c r="D26" s="43" t="s">
        <v>477</v>
      </c>
      <c r="E26" s="37">
        <f t="shared" si="2"/>
        <v>730248</v>
      </c>
      <c r="F26" s="44">
        <v>60854</v>
      </c>
    </row>
    <row r="27" spans="1:17" x14ac:dyDescent="0.25">
      <c r="A27" s="3"/>
      <c r="B27" s="3"/>
      <c r="C27" s="34"/>
      <c r="D27" s="43" t="s">
        <v>478</v>
      </c>
      <c r="E27" s="37">
        <f t="shared" si="2"/>
        <v>109536</v>
      </c>
      <c r="F27" s="44">
        <v>9128</v>
      </c>
    </row>
    <row r="28" spans="1:17" x14ac:dyDescent="0.25">
      <c r="A28" s="3"/>
      <c r="B28" s="3"/>
      <c r="C28" s="34"/>
      <c r="D28" s="43" t="s">
        <v>479</v>
      </c>
      <c r="E28" s="37">
        <f t="shared" si="2"/>
        <v>87624</v>
      </c>
      <c r="F28" s="44">
        <v>7302</v>
      </c>
    </row>
    <row r="29" spans="1:17" x14ac:dyDescent="0.25">
      <c r="A29" s="3"/>
      <c r="B29" s="3"/>
      <c r="C29" s="34"/>
      <c r="D29" s="43" t="s">
        <v>105</v>
      </c>
      <c r="E29" s="37">
        <f>F29*9*12</f>
        <v>8684712</v>
      </c>
      <c r="F29" s="44">
        <v>80414</v>
      </c>
      <c r="L29" s="164">
        <f>I22+J22+K22+L22+N22</f>
        <v>18479029.729999982</v>
      </c>
    </row>
    <row r="30" spans="1:17" x14ac:dyDescent="0.25">
      <c r="A30" s="3"/>
      <c r="B30" s="3"/>
      <c r="C30" s="34"/>
      <c r="D30" s="43" t="s">
        <v>106</v>
      </c>
      <c r="E30" s="37">
        <f t="shared" ref="E30:E31" si="3">F30*9*12</f>
        <v>4694436</v>
      </c>
      <c r="F30" s="44">
        <v>43467</v>
      </c>
      <c r="I30" s="194">
        <f>E9+E14+E18</f>
        <v>8000000</v>
      </c>
    </row>
    <row r="31" spans="1:17" x14ac:dyDescent="0.25">
      <c r="A31" s="3"/>
      <c r="B31" s="3"/>
      <c r="C31" s="34"/>
      <c r="D31" s="43" t="s">
        <v>107</v>
      </c>
      <c r="E31" s="37">
        <f t="shared" si="3"/>
        <v>704160</v>
      </c>
      <c r="F31" s="44">
        <v>6520</v>
      </c>
    </row>
    <row r="32" spans="1:17" x14ac:dyDescent="0.25">
      <c r="A32" s="3"/>
      <c r="B32" s="3"/>
      <c r="C32" s="34"/>
      <c r="D32" s="43" t="s">
        <v>108</v>
      </c>
      <c r="E32" s="37">
        <f>F32*9*12</f>
        <v>563328</v>
      </c>
      <c r="F32" s="44">
        <v>5216</v>
      </c>
      <c r="N32">
        <f>201-128</f>
        <v>73</v>
      </c>
    </row>
    <row r="33" spans="1:10" x14ac:dyDescent="0.25">
      <c r="A33" s="3">
        <v>1</v>
      </c>
      <c r="B33" s="3">
        <v>1</v>
      </c>
      <c r="C33" s="34" t="s">
        <v>109</v>
      </c>
      <c r="D33" s="4" t="s">
        <v>16</v>
      </c>
      <c r="E33" s="45">
        <f>SUM(E34:E52)</f>
        <v>122060000</v>
      </c>
      <c r="F33" s="2"/>
    </row>
    <row r="34" spans="1:10" x14ac:dyDescent="0.25">
      <c r="A34" s="46"/>
      <c r="B34" s="46"/>
      <c r="C34" s="47"/>
      <c r="D34" s="48" t="s">
        <v>110</v>
      </c>
      <c r="E34" s="49">
        <v>7200000</v>
      </c>
      <c r="F34" s="42" t="s">
        <v>6</v>
      </c>
      <c r="G34" s="173">
        <f>E34/12</f>
        <v>600000</v>
      </c>
      <c r="H34" s="164">
        <f>E34+E37+E42+E44+E46</f>
        <v>19500000</v>
      </c>
    </row>
    <row r="35" spans="1:10" hidden="1" x14ac:dyDescent="0.25">
      <c r="A35" s="46"/>
      <c r="B35" s="46"/>
      <c r="C35" s="47"/>
      <c r="D35" s="48" t="s">
        <v>110</v>
      </c>
      <c r="E35" s="49">
        <v>0</v>
      </c>
      <c r="F35" s="42" t="s">
        <v>111</v>
      </c>
    </row>
    <row r="36" spans="1:10" x14ac:dyDescent="0.25">
      <c r="A36" s="46"/>
      <c r="B36" s="46"/>
      <c r="C36" s="47"/>
      <c r="D36" s="48" t="s">
        <v>112</v>
      </c>
      <c r="E36" s="49">
        <v>10000000</v>
      </c>
      <c r="F36" s="48" t="s">
        <v>0</v>
      </c>
      <c r="H36" s="164">
        <f>E36+E38+E40+E41+E48+E49</f>
        <v>56060000</v>
      </c>
    </row>
    <row r="37" spans="1:10" x14ac:dyDescent="0.25">
      <c r="A37" s="46"/>
      <c r="B37" s="46"/>
      <c r="C37" s="47"/>
      <c r="D37" s="48" t="s">
        <v>113</v>
      </c>
      <c r="E37" s="49">
        <v>1200000</v>
      </c>
      <c r="F37" s="48" t="s">
        <v>6</v>
      </c>
      <c r="G37" s="173">
        <f>E37/12</f>
        <v>100000</v>
      </c>
      <c r="H37" s="164">
        <f>E52</f>
        <v>0</v>
      </c>
    </row>
    <row r="38" spans="1:10" x14ac:dyDescent="0.25">
      <c r="A38" s="46"/>
      <c r="B38" s="46"/>
      <c r="C38" s="47"/>
      <c r="D38" s="42" t="s">
        <v>114</v>
      </c>
      <c r="E38" s="51">
        <v>360000</v>
      </c>
      <c r="F38" s="42" t="s">
        <v>0</v>
      </c>
      <c r="G38" s="173">
        <f>E38/120000</f>
        <v>3</v>
      </c>
      <c r="H38" s="164">
        <f>E43+E45+E47+E50</f>
        <v>46500000</v>
      </c>
    </row>
    <row r="39" spans="1:10" hidden="1" x14ac:dyDescent="0.25">
      <c r="A39" s="46"/>
      <c r="B39" s="46"/>
      <c r="C39" s="47"/>
      <c r="D39" s="42" t="s">
        <v>115</v>
      </c>
      <c r="E39" s="50">
        <v>0</v>
      </c>
      <c r="F39" s="42" t="s">
        <v>0</v>
      </c>
    </row>
    <row r="40" spans="1:10" x14ac:dyDescent="0.25">
      <c r="A40" s="46"/>
      <c r="B40" s="46"/>
      <c r="C40" s="47"/>
      <c r="D40" s="42" t="s">
        <v>116</v>
      </c>
      <c r="E40" s="50">
        <v>4000000</v>
      </c>
      <c r="F40" s="42" t="s">
        <v>0</v>
      </c>
    </row>
    <row r="41" spans="1:10" x14ac:dyDescent="0.25">
      <c r="A41" s="46"/>
      <c r="B41" s="46"/>
      <c r="C41" s="47"/>
      <c r="D41" s="48" t="s">
        <v>410</v>
      </c>
      <c r="E41" s="49">
        <v>6000000</v>
      </c>
      <c r="F41" s="52" t="s">
        <v>0</v>
      </c>
      <c r="G41" t="s">
        <v>9</v>
      </c>
    </row>
    <row r="42" spans="1:10" x14ac:dyDescent="0.25">
      <c r="A42" s="46"/>
      <c r="B42" s="46"/>
      <c r="C42" s="46"/>
      <c r="D42" s="42" t="s">
        <v>117</v>
      </c>
      <c r="E42" s="50">
        <v>1100000</v>
      </c>
      <c r="F42" s="42" t="s">
        <v>6</v>
      </c>
    </row>
    <row r="43" spans="1:10" x14ac:dyDescent="0.25">
      <c r="A43" s="46"/>
      <c r="B43" s="46"/>
      <c r="C43" s="46"/>
      <c r="D43" s="42" t="s">
        <v>602</v>
      </c>
      <c r="E43" s="51">
        <v>10000000</v>
      </c>
      <c r="F43" s="42" t="s">
        <v>1</v>
      </c>
    </row>
    <row r="44" spans="1:10" x14ac:dyDescent="0.25">
      <c r="A44" s="46"/>
      <c r="B44" s="46"/>
      <c r="C44" s="46"/>
      <c r="D44" s="42" t="s">
        <v>540</v>
      </c>
      <c r="E44" s="51">
        <v>0</v>
      </c>
      <c r="F44" s="42" t="s">
        <v>6</v>
      </c>
      <c r="H44" s="164">
        <f>SUM(E43:E45)</f>
        <v>20000000</v>
      </c>
    </row>
    <row r="45" spans="1:10" x14ac:dyDescent="0.25">
      <c r="A45" s="46"/>
      <c r="B45" s="46"/>
      <c r="C45" s="46"/>
      <c r="D45" s="42" t="s">
        <v>540</v>
      </c>
      <c r="E45" s="51">
        <v>10000000</v>
      </c>
      <c r="F45" s="52" t="s">
        <v>1</v>
      </c>
      <c r="G45" t="s">
        <v>2</v>
      </c>
    </row>
    <row r="46" spans="1:10" x14ac:dyDescent="0.25">
      <c r="A46" s="46"/>
      <c r="B46" s="46"/>
      <c r="C46" s="46"/>
      <c r="D46" s="42" t="s">
        <v>119</v>
      </c>
      <c r="E46" s="50">
        <v>10000000</v>
      </c>
      <c r="F46" s="42" t="s">
        <v>6</v>
      </c>
      <c r="J46">
        <f>25*10000</f>
        <v>250000</v>
      </c>
    </row>
    <row r="47" spans="1:10" x14ac:dyDescent="0.25">
      <c r="A47" s="46"/>
      <c r="B47" s="46"/>
      <c r="C47" s="46"/>
      <c r="D47" s="42" t="s">
        <v>610</v>
      </c>
      <c r="E47" s="51">
        <v>25500000</v>
      </c>
      <c r="F47" s="42" t="s">
        <v>1</v>
      </c>
      <c r="H47" s="164">
        <f>SUM(E47:E48)</f>
        <v>61200000</v>
      </c>
      <c r="J47">
        <f>25*5000</f>
        <v>125000</v>
      </c>
    </row>
    <row r="48" spans="1:10" x14ac:dyDescent="0.25">
      <c r="A48" s="46"/>
      <c r="B48" s="46"/>
      <c r="C48" s="46"/>
      <c r="D48" s="42" t="s">
        <v>611</v>
      </c>
      <c r="E48" s="51">
        <v>35700000</v>
      </c>
      <c r="F48" s="42" t="s">
        <v>0</v>
      </c>
      <c r="H48" s="164">
        <f>H47/12</f>
        <v>5100000</v>
      </c>
      <c r="J48">
        <f>SUM(J46:J47)</f>
        <v>375000</v>
      </c>
    </row>
    <row r="49" spans="1:10" x14ac:dyDescent="0.25">
      <c r="A49" s="46"/>
      <c r="B49" s="46"/>
      <c r="C49" s="46"/>
      <c r="D49" s="42" t="s">
        <v>537</v>
      </c>
      <c r="E49" s="51">
        <v>0</v>
      </c>
      <c r="F49" s="42" t="s">
        <v>0</v>
      </c>
      <c r="G49" s="173">
        <f>E49/700000</f>
        <v>0</v>
      </c>
    </row>
    <row r="50" spans="1:10" x14ac:dyDescent="0.25">
      <c r="A50" s="46"/>
      <c r="B50" s="46"/>
      <c r="C50" s="46"/>
      <c r="D50" s="73" t="s">
        <v>652</v>
      </c>
      <c r="E50" s="321">
        <v>1000000</v>
      </c>
      <c r="F50" s="73" t="s">
        <v>1</v>
      </c>
      <c r="G50" s="173"/>
    </row>
    <row r="51" spans="1:10" x14ac:dyDescent="0.25">
      <c r="A51" s="46"/>
      <c r="B51" s="46"/>
      <c r="C51" s="46"/>
      <c r="D51" s="73" t="s">
        <v>653</v>
      </c>
      <c r="E51" s="321">
        <v>0</v>
      </c>
      <c r="F51" s="73" t="s">
        <v>9</v>
      </c>
      <c r="G51" s="173"/>
    </row>
    <row r="52" spans="1:10" x14ac:dyDescent="0.25">
      <c r="A52" s="46"/>
      <c r="B52" s="46"/>
      <c r="C52" s="46"/>
      <c r="D52" s="52" t="s">
        <v>612</v>
      </c>
      <c r="E52" s="51">
        <v>0</v>
      </c>
      <c r="F52" s="52" t="s">
        <v>9</v>
      </c>
      <c r="G52" s="173"/>
    </row>
    <row r="53" spans="1:10" x14ac:dyDescent="0.25">
      <c r="A53" s="5">
        <v>1</v>
      </c>
      <c r="B53" s="5">
        <v>1</v>
      </c>
      <c r="C53" s="53" t="s">
        <v>122</v>
      </c>
      <c r="D53" s="5" t="s">
        <v>17</v>
      </c>
      <c r="E53" s="54">
        <f>SUM(E54:E55)</f>
        <v>56500000</v>
      </c>
      <c r="F53" s="5" t="s">
        <v>0</v>
      </c>
      <c r="H53" s="164">
        <f>5*12</f>
        <v>60</v>
      </c>
    </row>
    <row r="54" spans="1:10" x14ac:dyDescent="0.25">
      <c r="A54" s="5"/>
      <c r="B54" s="5"/>
      <c r="C54" s="53"/>
      <c r="D54" s="55" t="s">
        <v>123</v>
      </c>
      <c r="E54" s="50">
        <v>52500000</v>
      </c>
      <c r="F54" s="42" t="s">
        <v>0</v>
      </c>
      <c r="H54" s="164" t="s">
        <v>541</v>
      </c>
      <c r="I54" s="164">
        <f>950000*12</f>
        <v>11400000</v>
      </c>
      <c r="J54">
        <v>850000</v>
      </c>
    </row>
    <row r="55" spans="1:10" x14ac:dyDescent="0.25">
      <c r="A55" s="5"/>
      <c r="B55" s="5"/>
      <c r="C55" s="53"/>
      <c r="D55" s="55" t="s">
        <v>124</v>
      </c>
      <c r="E55" s="50">
        <v>4000000</v>
      </c>
      <c r="F55" s="42" t="s">
        <v>6</v>
      </c>
      <c r="H55" s="164" t="s">
        <v>525</v>
      </c>
      <c r="I55" s="164">
        <f>875000*12</f>
        <v>10500000</v>
      </c>
      <c r="J55">
        <v>800000</v>
      </c>
    </row>
    <row r="56" spans="1:10" x14ac:dyDescent="0.25">
      <c r="A56" s="5">
        <v>1</v>
      </c>
      <c r="B56" s="5">
        <v>1</v>
      </c>
      <c r="C56" s="53" t="s">
        <v>125</v>
      </c>
      <c r="D56" s="5" t="s">
        <v>18</v>
      </c>
      <c r="E56" s="54">
        <f>SUM(E57:E60)</f>
        <v>8000000</v>
      </c>
      <c r="F56" s="5" t="s">
        <v>135</v>
      </c>
      <c r="G56" s="173">
        <f>E57+E60</f>
        <v>4500000</v>
      </c>
      <c r="H56" s="164" t="s">
        <v>526</v>
      </c>
      <c r="I56" s="164">
        <f>I55</f>
        <v>10500000</v>
      </c>
      <c r="J56">
        <v>800000</v>
      </c>
    </row>
    <row r="57" spans="1:10" x14ac:dyDescent="0.25">
      <c r="A57" s="46"/>
      <c r="B57" s="46"/>
      <c r="C57" s="46"/>
      <c r="D57" s="42" t="s">
        <v>126</v>
      </c>
      <c r="E57" s="50">
        <v>1500000</v>
      </c>
      <c r="F57" s="42" t="s">
        <v>1</v>
      </c>
      <c r="G57" t="s">
        <v>6</v>
      </c>
      <c r="H57" s="164" t="s">
        <v>542</v>
      </c>
      <c r="I57" s="164">
        <f>837500*12</f>
        <v>10050000</v>
      </c>
      <c r="J57">
        <v>775000</v>
      </c>
    </row>
    <row r="58" spans="1:10" x14ac:dyDescent="0.25">
      <c r="A58" s="46"/>
      <c r="B58" s="46"/>
      <c r="C58" s="46"/>
      <c r="D58" s="42" t="s">
        <v>127</v>
      </c>
      <c r="E58" s="50">
        <v>1000000</v>
      </c>
      <c r="F58" s="42" t="s">
        <v>6</v>
      </c>
      <c r="H58" s="164" t="s">
        <v>542</v>
      </c>
      <c r="I58" s="164">
        <f>I57</f>
        <v>10050000</v>
      </c>
      <c r="J58">
        <v>775000</v>
      </c>
    </row>
    <row r="59" spans="1:10" x14ac:dyDescent="0.25">
      <c r="A59" s="46"/>
      <c r="B59" s="46"/>
      <c r="C59" s="46"/>
      <c r="D59" s="42" t="s">
        <v>128</v>
      </c>
      <c r="E59" s="50">
        <v>2500000</v>
      </c>
      <c r="F59" s="42" t="s">
        <v>6</v>
      </c>
      <c r="I59" s="194">
        <f>SUM(I54:I58)</f>
        <v>52500000</v>
      </c>
      <c r="J59">
        <f>SUM(J54:J58)</f>
        <v>4000000</v>
      </c>
    </row>
    <row r="60" spans="1:10" x14ac:dyDescent="0.25">
      <c r="A60" s="46"/>
      <c r="B60" s="46"/>
      <c r="C60" s="46"/>
      <c r="D60" s="42" t="s">
        <v>129</v>
      </c>
      <c r="E60" s="50">
        <v>3000000</v>
      </c>
      <c r="F60" s="42" t="s">
        <v>1</v>
      </c>
      <c r="G60" t="s">
        <v>6</v>
      </c>
    </row>
    <row r="61" spans="1:10" x14ac:dyDescent="0.25">
      <c r="A61" s="5">
        <v>1</v>
      </c>
      <c r="B61" s="5">
        <v>1</v>
      </c>
      <c r="C61" s="53" t="s">
        <v>160</v>
      </c>
      <c r="D61" s="5" t="s">
        <v>438</v>
      </c>
      <c r="E61" s="54">
        <f>E62+E65+E68</f>
        <v>30000000</v>
      </c>
      <c r="F61" s="5" t="s">
        <v>3</v>
      </c>
      <c r="H61" s="164">
        <f>M5*3%</f>
        <v>25900620</v>
      </c>
    </row>
    <row r="62" spans="1:10" x14ac:dyDescent="0.25">
      <c r="A62" s="46"/>
      <c r="B62" s="46"/>
      <c r="C62" s="55" t="s">
        <v>85</v>
      </c>
      <c r="D62" s="63" t="s">
        <v>439</v>
      </c>
      <c r="E62" s="64">
        <f>E63+E64</f>
        <v>3000000</v>
      </c>
      <c r="F62" s="42"/>
      <c r="H62" s="164">
        <f>E61/M5*100</f>
        <v>3.4748202938771353</v>
      </c>
    </row>
    <row r="63" spans="1:10" x14ac:dyDescent="0.25">
      <c r="A63" s="46"/>
      <c r="B63" s="46"/>
      <c r="C63" s="55"/>
      <c r="D63" s="55" t="s">
        <v>468</v>
      </c>
      <c r="E63" s="50">
        <v>3000000</v>
      </c>
      <c r="F63" s="42"/>
    </row>
    <row r="64" spans="1:10" x14ac:dyDescent="0.25">
      <c r="A64" s="46"/>
      <c r="B64" s="46"/>
      <c r="C64" s="55"/>
      <c r="D64" s="55" t="s">
        <v>469</v>
      </c>
      <c r="E64" s="51">
        <v>0</v>
      </c>
      <c r="F64" s="42"/>
    </row>
    <row r="65" spans="1:8" ht="30" x14ac:dyDescent="0.25">
      <c r="A65" s="97"/>
      <c r="B65" s="97"/>
      <c r="C65" s="38" t="s">
        <v>89</v>
      </c>
      <c r="D65" s="99" t="s">
        <v>440</v>
      </c>
      <c r="E65" s="100">
        <f>E66+E67</f>
        <v>5000000</v>
      </c>
      <c r="F65" s="36"/>
    </row>
    <row r="66" spans="1:8" x14ac:dyDescent="0.25">
      <c r="A66" s="97"/>
      <c r="B66" s="97"/>
      <c r="C66" s="38"/>
      <c r="D66" s="101" t="s">
        <v>470</v>
      </c>
      <c r="E66" s="40">
        <v>0</v>
      </c>
      <c r="F66" s="36"/>
    </row>
    <row r="67" spans="1:8" x14ac:dyDescent="0.25">
      <c r="A67" s="97"/>
      <c r="B67" s="97"/>
      <c r="C67" s="38"/>
      <c r="D67" s="101" t="s">
        <v>471</v>
      </c>
      <c r="E67" s="37">
        <v>5000000</v>
      </c>
      <c r="F67" s="36"/>
    </row>
    <row r="68" spans="1:8" x14ac:dyDescent="0.25">
      <c r="A68" s="46"/>
      <c r="B68" s="46"/>
      <c r="C68" s="55" t="s">
        <v>98</v>
      </c>
      <c r="D68" s="63" t="s">
        <v>441</v>
      </c>
      <c r="E68" s="64">
        <f>E69+E70+E71</f>
        <v>22000000</v>
      </c>
      <c r="F68" s="42"/>
    </row>
    <row r="69" spans="1:8" x14ac:dyDescent="0.25">
      <c r="A69" s="46"/>
      <c r="B69" s="46"/>
      <c r="C69" s="55"/>
      <c r="D69" s="55" t="s">
        <v>472</v>
      </c>
      <c r="E69" s="50">
        <v>5000000</v>
      </c>
      <c r="F69" s="42"/>
    </row>
    <row r="70" spans="1:8" x14ac:dyDescent="0.25">
      <c r="A70" s="46"/>
      <c r="B70" s="46"/>
      <c r="C70" s="55"/>
      <c r="D70" s="55" t="s">
        <v>543</v>
      </c>
      <c r="E70" s="50">
        <v>15000000</v>
      </c>
      <c r="F70" s="42"/>
    </row>
    <row r="71" spans="1:8" x14ac:dyDescent="0.25">
      <c r="A71" s="46"/>
      <c r="B71" s="46"/>
      <c r="C71" s="55"/>
      <c r="D71" s="55" t="s">
        <v>474</v>
      </c>
      <c r="E71" s="50">
        <v>2000000</v>
      </c>
      <c r="F71" s="42"/>
    </row>
    <row r="72" spans="1:8" x14ac:dyDescent="0.25">
      <c r="A72" s="5">
        <v>1</v>
      </c>
      <c r="B72" s="5">
        <v>1</v>
      </c>
      <c r="C72" s="53" t="s">
        <v>130</v>
      </c>
      <c r="D72" s="5" t="s">
        <v>19</v>
      </c>
      <c r="E72" s="54">
        <f>E73+E74</f>
        <v>22500000</v>
      </c>
      <c r="F72" s="5" t="s">
        <v>131</v>
      </c>
    </row>
    <row r="73" spans="1:8" x14ac:dyDescent="0.25">
      <c r="A73" s="46"/>
      <c r="B73" s="46"/>
      <c r="C73" s="46"/>
      <c r="D73" s="42" t="s">
        <v>19</v>
      </c>
      <c r="E73" s="50">
        <v>18000000</v>
      </c>
      <c r="F73" s="42" t="s">
        <v>131</v>
      </c>
    </row>
    <row r="74" spans="1:8" x14ac:dyDescent="0.25">
      <c r="A74" s="46"/>
      <c r="B74" s="46"/>
      <c r="C74" s="46"/>
      <c r="D74" s="324" t="s">
        <v>663</v>
      </c>
      <c r="E74" s="323">
        <v>4500000</v>
      </c>
      <c r="F74" s="42"/>
    </row>
    <row r="75" spans="1:8" x14ac:dyDescent="0.25">
      <c r="A75" s="5">
        <v>1</v>
      </c>
      <c r="B75" s="5">
        <v>1</v>
      </c>
      <c r="C75" s="53" t="s">
        <v>444</v>
      </c>
      <c r="D75" s="5" t="s">
        <v>445</v>
      </c>
      <c r="E75" s="54">
        <f>SUM(E76:E79)</f>
        <v>48000000</v>
      </c>
      <c r="F75" s="5" t="s">
        <v>131</v>
      </c>
      <c r="G75">
        <f>12*10</f>
        <v>120</v>
      </c>
    </row>
    <row r="76" spans="1:8" x14ac:dyDescent="0.25">
      <c r="A76" s="5"/>
      <c r="B76" s="5"/>
      <c r="C76" s="53"/>
      <c r="D76" s="42" t="s">
        <v>446</v>
      </c>
      <c r="E76" s="50">
        <v>6000000</v>
      </c>
      <c r="F76" s="42"/>
      <c r="H76" s="164">
        <f>9*12</f>
        <v>108</v>
      </c>
    </row>
    <row r="77" spans="1:8" x14ac:dyDescent="0.25">
      <c r="A77" s="5"/>
      <c r="B77" s="5"/>
      <c r="C77" s="53"/>
      <c r="D77" s="324" t="s">
        <v>661</v>
      </c>
      <c r="E77" s="323">
        <v>1500000</v>
      </c>
      <c r="F77" s="42"/>
    </row>
    <row r="78" spans="1:8" x14ac:dyDescent="0.25">
      <c r="A78" s="5"/>
      <c r="B78" s="5"/>
      <c r="C78" s="53"/>
      <c r="D78" s="42" t="s">
        <v>447</v>
      </c>
      <c r="E78" s="50">
        <v>32400000</v>
      </c>
      <c r="F78" s="42"/>
    </row>
    <row r="79" spans="1:8" x14ac:dyDescent="0.25">
      <c r="A79" s="46"/>
      <c r="B79" s="46"/>
      <c r="C79" s="46"/>
      <c r="D79" s="324" t="s">
        <v>662</v>
      </c>
      <c r="E79" s="323">
        <f>900000*9</f>
        <v>8100000</v>
      </c>
      <c r="F79" s="42"/>
    </row>
    <row r="80" spans="1:8" x14ac:dyDescent="0.25">
      <c r="A80" s="8">
        <v>1</v>
      </c>
      <c r="B80" s="8">
        <v>2</v>
      </c>
      <c r="C80" s="56"/>
      <c r="D80" s="8" t="s">
        <v>25</v>
      </c>
      <c r="E80" s="57">
        <f>E81+E84+E94</f>
        <v>249628266.13</v>
      </c>
      <c r="F80" s="58"/>
    </row>
    <row r="81" spans="1:8" x14ac:dyDescent="0.25">
      <c r="A81" s="5">
        <v>1</v>
      </c>
      <c r="B81" s="5">
        <v>2</v>
      </c>
      <c r="C81" s="53" t="s">
        <v>85</v>
      </c>
      <c r="D81" s="5" t="s">
        <v>22</v>
      </c>
      <c r="E81" s="54">
        <f>SUM(E82:E83)</f>
        <v>10228266.130000001</v>
      </c>
      <c r="F81" s="5" t="s">
        <v>0</v>
      </c>
    </row>
    <row r="82" spans="1:8" hidden="1" x14ac:dyDescent="0.25">
      <c r="A82" s="46"/>
      <c r="B82" s="46"/>
      <c r="C82" s="47"/>
      <c r="D82" s="42" t="s">
        <v>409</v>
      </c>
      <c r="E82" s="51">
        <v>0</v>
      </c>
      <c r="F82" s="42" t="s">
        <v>1</v>
      </c>
    </row>
    <row r="83" spans="1:8" x14ac:dyDescent="0.25">
      <c r="A83" s="46"/>
      <c r="B83" s="46"/>
      <c r="C83" s="47"/>
      <c r="D83" s="324" t="s">
        <v>667</v>
      </c>
      <c r="E83" s="323">
        <v>10228266.130000001</v>
      </c>
      <c r="F83" s="42" t="s">
        <v>0</v>
      </c>
    </row>
    <row r="84" spans="1:8" x14ac:dyDescent="0.25">
      <c r="A84" s="3">
        <v>1</v>
      </c>
      <c r="B84" s="3">
        <v>2</v>
      </c>
      <c r="C84" s="34" t="s">
        <v>89</v>
      </c>
      <c r="D84" s="3" t="s">
        <v>23</v>
      </c>
      <c r="E84" s="35">
        <f>E85+E89+E90+E91</f>
        <v>19400000</v>
      </c>
      <c r="F84" s="2" t="s">
        <v>601</v>
      </c>
    </row>
    <row r="85" spans="1:8" x14ac:dyDescent="0.25">
      <c r="A85" s="5"/>
      <c r="B85" s="5"/>
      <c r="C85" s="53"/>
      <c r="D85" s="60" t="s">
        <v>134</v>
      </c>
      <c r="E85" s="61">
        <f>SUM(E86:E88)</f>
        <v>3000000</v>
      </c>
      <c r="F85" s="60" t="s">
        <v>1</v>
      </c>
      <c r="G85" s="173">
        <f>E84-E90</f>
        <v>9200000</v>
      </c>
    </row>
    <row r="86" spans="1:8" x14ac:dyDescent="0.25">
      <c r="A86" s="5"/>
      <c r="B86" s="5"/>
      <c r="C86" s="53"/>
      <c r="D86" s="62" t="s">
        <v>136</v>
      </c>
      <c r="E86" s="49">
        <v>3000000</v>
      </c>
      <c r="F86" s="48" t="s">
        <v>1</v>
      </c>
    </row>
    <row r="87" spans="1:8" hidden="1" x14ac:dyDescent="0.25">
      <c r="A87" s="5"/>
      <c r="B87" s="5"/>
      <c r="C87" s="53"/>
      <c r="D87" s="62" t="s">
        <v>136</v>
      </c>
      <c r="E87" s="49">
        <v>0</v>
      </c>
      <c r="F87" s="48" t="s">
        <v>0</v>
      </c>
    </row>
    <row r="88" spans="1:8" x14ac:dyDescent="0.25">
      <c r="A88" s="5"/>
      <c r="B88" s="5"/>
      <c r="C88" s="53"/>
      <c r="D88" s="320" t="s">
        <v>137</v>
      </c>
      <c r="E88" s="278">
        <v>0</v>
      </c>
      <c r="F88" s="48" t="s">
        <v>1</v>
      </c>
      <c r="G88" t="s">
        <v>6</v>
      </c>
    </row>
    <row r="89" spans="1:8" x14ac:dyDescent="0.25">
      <c r="A89" s="5"/>
      <c r="B89" s="5"/>
      <c r="C89" s="53"/>
      <c r="D89" s="63" t="s">
        <v>138</v>
      </c>
      <c r="E89" s="64">
        <v>3000000</v>
      </c>
      <c r="F89" s="230" t="s">
        <v>1</v>
      </c>
      <c r="G89" t="s">
        <v>2</v>
      </c>
    </row>
    <row r="90" spans="1:8" x14ac:dyDescent="0.25">
      <c r="A90" s="5"/>
      <c r="B90" s="5"/>
      <c r="C90" s="53"/>
      <c r="D90" s="63" t="s">
        <v>139</v>
      </c>
      <c r="E90" s="64">
        <v>10200000</v>
      </c>
      <c r="F90" s="63" t="s">
        <v>0</v>
      </c>
    </row>
    <row r="91" spans="1:8" x14ac:dyDescent="0.25">
      <c r="A91" s="5"/>
      <c r="B91" s="5"/>
      <c r="C91" s="53"/>
      <c r="D91" s="63" t="s">
        <v>140</v>
      </c>
      <c r="E91" s="64">
        <f>E92+E93</f>
        <v>3200000</v>
      </c>
      <c r="F91" s="63" t="s">
        <v>1</v>
      </c>
      <c r="G91" t="s">
        <v>6</v>
      </c>
    </row>
    <row r="92" spans="1:8" x14ac:dyDescent="0.25">
      <c r="A92" s="5"/>
      <c r="B92" s="5"/>
      <c r="C92" s="53"/>
      <c r="D92" s="65" t="s">
        <v>141</v>
      </c>
      <c r="E92" s="66">
        <v>1000000</v>
      </c>
      <c r="F92" s="67"/>
    </row>
    <row r="93" spans="1:8" x14ac:dyDescent="0.25">
      <c r="A93" s="5"/>
      <c r="B93" s="5"/>
      <c r="C93" s="53"/>
      <c r="D93" s="65" t="s">
        <v>142</v>
      </c>
      <c r="E93" s="66">
        <v>2200000</v>
      </c>
      <c r="F93" s="67"/>
    </row>
    <row r="94" spans="1:8" ht="30" x14ac:dyDescent="0.25">
      <c r="A94" s="3">
        <v>1</v>
      </c>
      <c r="B94" s="3">
        <v>2</v>
      </c>
      <c r="C94" s="34" t="s">
        <v>98</v>
      </c>
      <c r="D94" s="2" t="s">
        <v>24</v>
      </c>
      <c r="E94" s="35">
        <f>SUM(E95:E96)</f>
        <v>220000000</v>
      </c>
      <c r="F94" s="3" t="s">
        <v>4</v>
      </c>
    </row>
    <row r="95" spans="1:8" hidden="1" x14ac:dyDescent="0.25">
      <c r="A95" s="3"/>
      <c r="B95" s="3"/>
      <c r="C95" s="34"/>
      <c r="D95" s="65" t="s">
        <v>143</v>
      </c>
      <c r="E95" s="37">
        <v>0</v>
      </c>
      <c r="F95" s="36" t="s">
        <v>6</v>
      </c>
    </row>
    <row r="96" spans="1:8" x14ac:dyDescent="0.25">
      <c r="A96" s="5"/>
      <c r="B96" s="5"/>
      <c r="C96" s="53"/>
      <c r="D96" s="65" t="s">
        <v>582</v>
      </c>
      <c r="E96" s="66">
        <v>220000000</v>
      </c>
      <c r="F96" s="67" t="s">
        <v>4</v>
      </c>
      <c r="H96" s="336">
        <f>E96*3%</f>
        <v>6600000</v>
      </c>
    </row>
    <row r="97" spans="1:7" x14ac:dyDescent="0.25">
      <c r="A97" s="5"/>
      <c r="B97" s="5"/>
      <c r="C97" s="53"/>
      <c r="D97" s="276" t="s">
        <v>607</v>
      </c>
      <c r="E97" s="66"/>
      <c r="F97" s="67"/>
    </row>
    <row r="98" spans="1:7" ht="30" x14ac:dyDescent="0.25">
      <c r="A98" s="68">
        <v>1</v>
      </c>
      <c r="B98" s="68">
        <v>3</v>
      </c>
      <c r="C98" s="68"/>
      <c r="D98" s="9" t="s">
        <v>26</v>
      </c>
      <c r="E98" s="33">
        <f>E99+E103+E108+E110</f>
        <v>21000000</v>
      </c>
      <c r="F98" s="69"/>
    </row>
    <row r="99" spans="1:7" x14ac:dyDescent="0.25">
      <c r="A99" s="5">
        <v>1</v>
      </c>
      <c r="B99" s="5">
        <v>3</v>
      </c>
      <c r="C99" s="53" t="s">
        <v>85</v>
      </c>
      <c r="D99" s="70" t="s">
        <v>27</v>
      </c>
      <c r="E99" s="54">
        <f>SUM(E100:E102)</f>
        <v>3000000</v>
      </c>
      <c r="F99" s="12" t="s">
        <v>1</v>
      </c>
    </row>
    <row r="100" spans="1:7" x14ac:dyDescent="0.25">
      <c r="A100" s="46"/>
      <c r="B100" s="46"/>
      <c r="C100" s="46"/>
      <c r="D100" s="71" t="s">
        <v>144</v>
      </c>
      <c r="E100" s="50">
        <v>1000000</v>
      </c>
      <c r="F100" s="72"/>
    </row>
    <row r="101" spans="1:7" x14ac:dyDescent="0.25">
      <c r="A101" s="46"/>
      <c r="B101" s="46"/>
      <c r="C101" s="46"/>
      <c r="D101" s="71" t="s">
        <v>145</v>
      </c>
      <c r="E101" s="50">
        <v>1000000</v>
      </c>
      <c r="F101" s="72"/>
    </row>
    <row r="102" spans="1:7" x14ac:dyDescent="0.25">
      <c r="A102" s="46"/>
      <c r="B102" s="46"/>
      <c r="C102" s="46"/>
      <c r="D102" s="71" t="s">
        <v>425</v>
      </c>
      <c r="E102" s="50">
        <v>1000000</v>
      </c>
      <c r="F102" s="72"/>
    </row>
    <row r="103" spans="1:7" x14ac:dyDescent="0.25">
      <c r="A103" s="5">
        <v>1</v>
      </c>
      <c r="B103" s="5">
        <v>3</v>
      </c>
      <c r="C103" s="53" t="s">
        <v>89</v>
      </c>
      <c r="D103" s="5" t="s">
        <v>28</v>
      </c>
      <c r="E103" s="54">
        <f>SUM(E104:E107)</f>
        <v>14000000</v>
      </c>
      <c r="F103" s="5" t="s">
        <v>1</v>
      </c>
    </row>
    <row r="104" spans="1:7" hidden="1" x14ac:dyDescent="0.25">
      <c r="A104" s="46"/>
      <c r="B104" s="46"/>
      <c r="C104" s="46"/>
      <c r="D104" s="42" t="s">
        <v>146</v>
      </c>
      <c r="E104" s="50">
        <v>0</v>
      </c>
      <c r="F104" s="42" t="s">
        <v>6</v>
      </c>
    </row>
    <row r="105" spans="1:7" hidden="1" x14ac:dyDescent="0.25">
      <c r="A105" s="46"/>
      <c r="B105" s="46"/>
      <c r="C105" s="46"/>
      <c r="D105" s="42" t="s">
        <v>128</v>
      </c>
      <c r="E105" s="50">
        <v>0</v>
      </c>
      <c r="F105" s="73"/>
    </row>
    <row r="106" spans="1:7" hidden="1" x14ac:dyDescent="0.25">
      <c r="A106" s="46"/>
      <c r="B106" s="46"/>
      <c r="C106" s="46"/>
      <c r="D106" s="42" t="s">
        <v>145</v>
      </c>
      <c r="E106" s="50">
        <v>0</v>
      </c>
      <c r="F106" s="48" t="s">
        <v>6</v>
      </c>
    </row>
    <row r="107" spans="1:7" x14ac:dyDescent="0.25">
      <c r="A107" s="46"/>
      <c r="B107" s="46"/>
      <c r="C107" s="46"/>
      <c r="D107" s="42" t="s">
        <v>147</v>
      </c>
      <c r="E107" s="50">
        <v>14000000</v>
      </c>
      <c r="F107" s="273" t="s">
        <v>1</v>
      </c>
      <c r="G107" s="186" t="s">
        <v>3</v>
      </c>
    </row>
    <row r="108" spans="1:7" x14ac:dyDescent="0.25">
      <c r="A108" s="3">
        <v>1</v>
      </c>
      <c r="B108" s="3">
        <v>3</v>
      </c>
      <c r="C108" s="34" t="s">
        <v>98</v>
      </c>
      <c r="D108" s="2" t="s">
        <v>29</v>
      </c>
      <c r="E108" s="35">
        <f>SUM(E109:E109)</f>
        <v>2000000</v>
      </c>
      <c r="F108" s="3" t="s">
        <v>2</v>
      </c>
    </row>
    <row r="109" spans="1:7" x14ac:dyDescent="0.25">
      <c r="A109" s="46"/>
      <c r="B109" s="46"/>
      <c r="C109" s="46"/>
      <c r="D109" s="42" t="s">
        <v>144</v>
      </c>
      <c r="E109" s="50">
        <v>2000000</v>
      </c>
      <c r="F109" s="74"/>
    </row>
    <row r="110" spans="1:7" x14ac:dyDescent="0.25">
      <c r="A110" s="3">
        <v>1</v>
      </c>
      <c r="B110" s="3">
        <v>3</v>
      </c>
      <c r="C110" s="34" t="s">
        <v>122</v>
      </c>
      <c r="D110" s="2" t="s">
        <v>30</v>
      </c>
      <c r="E110" s="35">
        <f>SUM(E111:E116)</f>
        <v>2000000</v>
      </c>
      <c r="F110" s="3" t="s">
        <v>1</v>
      </c>
    </row>
    <row r="111" spans="1:7" x14ac:dyDescent="0.25">
      <c r="A111" s="46"/>
      <c r="B111" s="46"/>
      <c r="C111" s="46"/>
      <c r="D111" s="42" t="s">
        <v>148</v>
      </c>
      <c r="E111" s="50">
        <v>2000000</v>
      </c>
      <c r="F111" s="74"/>
    </row>
    <row r="112" spans="1:7" hidden="1" x14ac:dyDescent="0.25">
      <c r="A112" s="46"/>
      <c r="B112" s="46"/>
      <c r="C112" s="46"/>
      <c r="D112" s="42"/>
      <c r="E112" s="50"/>
      <c r="F112" s="74"/>
    </row>
    <row r="113" spans="1:6" ht="15" hidden="1" customHeight="1" x14ac:dyDescent="0.25">
      <c r="A113" s="46"/>
      <c r="B113" s="46"/>
      <c r="C113" s="46"/>
      <c r="D113" s="46" t="s">
        <v>149</v>
      </c>
      <c r="E113" s="75">
        <v>0</v>
      </c>
      <c r="F113" s="46"/>
    </row>
    <row r="114" spans="1:6" ht="15" hidden="1" customHeight="1" x14ac:dyDescent="0.25">
      <c r="A114" s="46"/>
      <c r="B114" s="46"/>
      <c r="C114" s="46"/>
      <c r="D114" s="46" t="s">
        <v>145</v>
      </c>
      <c r="E114" s="75">
        <v>0</v>
      </c>
      <c r="F114" s="46"/>
    </row>
    <row r="115" spans="1:6" ht="15" hidden="1" customHeight="1" x14ac:dyDescent="0.25">
      <c r="A115" s="46"/>
      <c r="B115" s="46"/>
      <c r="C115" s="46"/>
      <c r="D115" s="46" t="s">
        <v>128</v>
      </c>
      <c r="E115" s="75">
        <v>0</v>
      </c>
      <c r="F115" s="46"/>
    </row>
    <row r="116" spans="1:6" ht="15" hidden="1" customHeight="1" x14ac:dyDescent="0.25">
      <c r="A116" s="46"/>
      <c r="B116" s="46"/>
      <c r="C116" s="46"/>
      <c r="D116" s="46" t="s">
        <v>129</v>
      </c>
      <c r="E116" s="75">
        <v>0</v>
      </c>
      <c r="F116" s="5"/>
    </row>
    <row r="117" spans="1:6" ht="15" hidden="1" customHeight="1" x14ac:dyDescent="0.25">
      <c r="A117" s="46"/>
      <c r="B117" s="46"/>
      <c r="C117" s="46"/>
      <c r="D117" s="46" t="s">
        <v>150</v>
      </c>
      <c r="E117" s="75">
        <v>0</v>
      </c>
      <c r="F117" s="5"/>
    </row>
    <row r="118" spans="1:6" ht="30" x14ac:dyDescent="0.25">
      <c r="A118" s="68">
        <v>1</v>
      </c>
      <c r="B118" s="68">
        <v>4</v>
      </c>
      <c r="C118" s="68"/>
      <c r="D118" s="9" t="s">
        <v>31</v>
      </c>
      <c r="E118" s="33">
        <f>E119+E122+E125+E132+E138+E141</f>
        <v>25100000</v>
      </c>
      <c r="F118" s="68"/>
    </row>
    <row r="119" spans="1:6" ht="30" x14ac:dyDescent="0.25">
      <c r="A119" s="3">
        <v>1</v>
      </c>
      <c r="B119" s="3">
        <v>4</v>
      </c>
      <c r="C119" s="34" t="s">
        <v>85</v>
      </c>
      <c r="D119" s="2" t="s">
        <v>32</v>
      </c>
      <c r="E119" s="35">
        <f>SUM(E120:E121)</f>
        <v>3000000</v>
      </c>
      <c r="F119" s="3" t="s">
        <v>0</v>
      </c>
    </row>
    <row r="120" spans="1:6" x14ac:dyDescent="0.25">
      <c r="A120" s="46"/>
      <c r="B120" s="46"/>
      <c r="C120" s="46"/>
      <c r="D120" s="48" t="s">
        <v>128</v>
      </c>
      <c r="E120" s="49">
        <v>3000000</v>
      </c>
      <c r="F120" s="48" t="s">
        <v>0</v>
      </c>
    </row>
    <row r="121" spans="1:6" hidden="1" x14ac:dyDescent="0.25">
      <c r="A121" s="46"/>
      <c r="B121" s="46"/>
      <c r="C121" s="46"/>
      <c r="D121" s="48" t="s">
        <v>151</v>
      </c>
      <c r="E121" s="49">
        <v>0</v>
      </c>
      <c r="F121" s="48" t="s">
        <v>1</v>
      </c>
    </row>
    <row r="122" spans="1:6" x14ac:dyDescent="0.25">
      <c r="A122" s="5">
        <v>1</v>
      </c>
      <c r="B122" s="5">
        <v>4</v>
      </c>
      <c r="C122" s="53" t="s">
        <v>89</v>
      </c>
      <c r="D122" s="5" t="s">
        <v>33</v>
      </c>
      <c r="E122" s="54">
        <f>SUM(E123:E124)</f>
        <v>3000000</v>
      </c>
      <c r="F122" s="5" t="s">
        <v>1</v>
      </c>
    </row>
    <row r="123" spans="1:6" x14ac:dyDescent="0.25">
      <c r="A123" s="5"/>
      <c r="B123" s="5"/>
      <c r="C123" s="53"/>
      <c r="D123" s="48" t="s">
        <v>128</v>
      </c>
      <c r="E123" s="49">
        <v>3000000</v>
      </c>
      <c r="F123" s="48" t="s">
        <v>1</v>
      </c>
    </row>
    <row r="124" spans="1:6" hidden="1" x14ac:dyDescent="0.25">
      <c r="A124" s="5"/>
      <c r="B124" s="5"/>
      <c r="C124" s="53"/>
      <c r="D124" s="48" t="s">
        <v>145</v>
      </c>
      <c r="E124" s="49">
        <v>0</v>
      </c>
      <c r="F124" s="48" t="s">
        <v>1</v>
      </c>
    </row>
    <row r="125" spans="1:6" ht="35.25" customHeight="1" x14ac:dyDescent="0.25">
      <c r="A125" s="3">
        <v>1</v>
      </c>
      <c r="B125" s="3">
        <v>4</v>
      </c>
      <c r="C125" s="34" t="s">
        <v>98</v>
      </c>
      <c r="D125" s="2" t="s">
        <v>34</v>
      </c>
      <c r="E125" s="35">
        <f>SUM(E126:E131)</f>
        <v>9500000</v>
      </c>
      <c r="F125" s="2" t="s">
        <v>1</v>
      </c>
    </row>
    <row r="126" spans="1:6" hidden="1" x14ac:dyDescent="0.25">
      <c r="A126" s="46"/>
      <c r="B126" s="46"/>
      <c r="C126" s="46"/>
      <c r="D126" s="42" t="s">
        <v>152</v>
      </c>
      <c r="E126" s="50">
        <v>0</v>
      </c>
      <c r="F126" s="42" t="s">
        <v>6</v>
      </c>
    </row>
    <row r="127" spans="1:6" x14ac:dyDescent="0.25">
      <c r="A127" s="46"/>
      <c r="B127" s="46"/>
      <c r="C127" s="46"/>
      <c r="D127" s="42" t="s">
        <v>128</v>
      </c>
      <c r="E127" s="50">
        <v>2000000</v>
      </c>
      <c r="F127" s="42" t="s">
        <v>1</v>
      </c>
    </row>
    <row r="128" spans="1:6" x14ac:dyDescent="0.25">
      <c r="A128" s="46"/>
      <c r="B128" s="46"/>
      <c r="C128" s="46"/>
      <c r="D128" s="42" t="s">
        <v>153</v>
      </c>
      <c r="E128" s="49">
        <v>6000000</v>
      </c>
      <c r="F128" s="42" t="s">
        <v>1</v>
      </c>
    </row>
    <row r="129" spans="1:7" x14ac:dyDescent="0.25">
      <c r="A129" s="46"/>
      <c r="B129" s="46"/>
      <c r="C129" s="46"/>
      <c r="D129" s="42" t="s">
        <v>154</v>
      </c>
      <c r="E129" s="49">
        <v>1500000</v>
      </c>
      <c r="F129" s="42" t="s">
        <v>1</v>
      </c>
    </row>
    <row r="130" spans="1:7" hidden="1" x14ac:dyDescent="0.25">
      <c r="A130" s="46"/>
      <c r="B130" s="46"/>
      <c r="C130" s="46"/>
      <c r="D130" s="42" t="s">
        <v>155</v>
      </c>
      <c r="E130" s="49">
        <v>0</v>
      </c>
      <c r="F130" s="42" t="s">
        <v>1</v>
      </c>
    </row>
    <row r="131" spans="1:7" hidden="1" x14ac:dyDescent="0.25">
      <c r="A131" s="46"/>
      <c r="B131" s="46"/>
      <c r="C131" s="46"/>
      <c r="D131" s="42" t="s">
        <v>129</v>
      </c>
      <c r="E131" s="49">
        <v>0</v>
      </c>
      <c r="F131" s="42" t="s">
        <v>9</v>
      </c>
    </row>
    <row r="132" spans="1:7" x14ac:dyDescent="0.25">
      <c r="A132" s="5">
        <v>1</v>
      </c>
      <c r="B132" s="5">
        <v>4</v>
      </c>
      <c r="C132" s="53" t="s">
        <v>109</v>
      </c>
      <c r="D132" s="5" t="s">
        <v>35</v>
      </c>
      <c r="E132" s="54">
        <f>SUM(E133:E137)</f>
        <v>1000000</v>
      </c>
      <c r="F132" s="5" t="s">
        <v>2</v>
      </c>
    </row>
    <row r="133" spans="1:7" hidden="1" x14ac:dyDescent="0.25">
      <c r="A133" s="46"/>
      <c r="B133" s="46"/>
      <c r="C133" s="46"/>
      <c r="D133" s="42" t="s">
        <v>157</v>
      </c>
      <c r="E133" s="51">
        <v>0</v>
      </c>
      <c r="F133" s="42" t="s">
        <v>0</v>
      </c>
      <c r="G133" s="173">
        <f>E133/12</f>
        <v>0</v>
      </c>
    </row>
    <row r="134" spans="1:7" hidden="1" x14ac:dyDescent="0.25">
      <c r="A134" s="46"/>
      <c r="B134" s="46"/>
      <c r="C134" s="46"/>
      <c r="D134" s="52" t="s">
        <v>158</v>
      </c>
      <c r="E134" s="50">
        <v>0</v>
      </c>
      <c r="F134" s="42" t="s">
        <v>6</v>
      </c>
    </row>
    <row r="135" spans="1:7" hidden="1" x14ac:dyDescent="0.25">
      <c r="A135" s="46"/>
      <c r="B135" s="46"/>
      <c r="C135" s="46"/>
      <c r="D135" s="42" t="s">
        <v>158</v>
      </c>
      <c r="E135" s="50">
        <v>0</v>
      </c>
      <c r="F135" s="42" t="s">
        <v>1</v>
      </c>
    </row>
    <row r="136" spans="1:7" x14ac:dyDescent="0.25">
      <c r="A136" s="46"/>
      <c r="B136" s="46"/>
      <c r="C136" s="46"/>
      <c r="D136" s="42" t="s">
        <v>128</v>
      </c>
      <c r="E136" s="50">
        <v>1000000</v>
      </c>
      <c r="F136" s="42" t="s">
        <v>2</v>
      </c>
    </row>
    <row r="137" spans="1:7" hidden="1" x14ac:dyDescent="0.25">
      <c r="A137" s="46"/>
      <c r="B137" s="46"/>
      <c r="C137" s="46"/>
      <c r="D137" s="42" t="s">
        <v>149</v>
      </c>
      <c r="E137" s="50">
        <v>0</v>
      </c>
      <c r="F137" s="42" t="s">
        <v>1</v>
      </c>
    </row>
    <row r="138" spans="1:7" ht="30" x14ac:dyDescent="0.25">
      <c r="A138" s="3">
        <v>1</v>
      </c>
      <c r="B138" s="3">
        <v>4</v>
      </c>
      <c r="C138" s="34" t="s">
        <v>159</v>
      </c>
      <c r="D138" s="2" t="s">
        <v>36</v>
      </c>
      <c r="E138" s="35">
        <f>SUM(E139:E140)</f>
        <v>2000000</v>
      </c>
      <c r="F138" s="3" t="s">
        <v>1</v>
      </c>
    </row>
    <row r="139" spans="1:7" x14ac:dyDescent="0.25">
      <c r="A139" s="46"/>
      <c r="B139" s="46"/>
      <c r="C139" s="46"/>
      <c r="D139" s="42" t="s">
        <v>128</v>
      </c>
      <c r="E139" s="50">
        <v>1000000</v>
      </c>
      <c r="F139" s="76"/>
    </row>
    <row r="140" spans="1:7" x14ac:dyDescent="0.25">
      <c r="A140" s="46"/>
      <c r="B140" s="46"/>
      <c r="C140" s="46"/>
      <c r="D140" s="42" t="s">
        <v>152</v>
      </c>
      <c r="E140" s="50">
        <v>1000000</v>
      </c>
      <c r="F140" s="76"/>
    </row>
    <row r="141" spans="1:7" x14ac:dyDescent="0.25">
      <c r="A141" s="5">
        <v>1</v>
      </c>
      <c r="B141" s="5">
        <v>4</v>
      </c>
      <c r="C141" s="53" t="s">
        <v>160</v>
      </c>
      <c r="D141" s="5" t="s">
        <v>37</v>
      </c>
      <c r="E141" s="54">
        <f>SUM(E142:E144)</f>
        <v>6600000</v>
      </c>
      <c r="F141" s="5" t="s">
        <v>0</v>
      </c>
    </row>
    <row r="142" spans="1:7" x14ac:dyDescent="0.25">
      <c r="A142" s="46"/>
      <c r="B142" s="46"/>
      <c r="C142" s="46"/>
      <c r="D142" s="46" t="s">
        <v>161</v>
      </c>
      <c r="E142" s="50">
        <f>550000*12</f>
        <v>6600000</v>
      </c>
      <c r="F142" s="46" t="s">
        <v>0</v>
      </c>
      <c r="G142" s="173">
        <f>E142/12</f>
        <v>550000</v>
      </c>
    </row>
    <row r="143" spans="1:7" hidden="1" x14ac:dyDescent="0.25">
      <c r="A143" s="46"/>
      <c r="B143" s="46"/>
      <c r="C143" s="46"/>
      <c r="D143" s="77" t="s">
        <v>162</v>
      </c>
      <c r="E143" s="49">
        <v>0</v>
      </c>
      <c r="F143" s="77"/>
    </row>
    <row r="144" spans="1:7" hidden="1" x14ac:dyDescent="0.25">
      <c r="A144" s="46"/>
      <c r="B144" s="46"/>
      <c r="C144" s="46"/>
      <c r="D144" s="46" t="s">
        <v>129</v>
      </c>
      <c r="E144" s="75">
        <v>0</v>
      </c>
      <c r="F144" s="46" t="s">
        <v>6</v>
      </c>
    </row>
    <row r="145" spans="1:8" ht="37.5" hidden="1" customHeight="1" x14ac:dyDescent="0.25">
      <c r="A145" s="3">
        <v>1</v>
      </c>
      <c r="B145" s="3">
        <v>4</v>
      </c>
      <c r="C145" s="34" t="s">
        <v>163</v>
      </c>
      <c r="D145" s="78" t="s">
        <v>164</v>
      </c>
      <c r="E145" s="35">
        <f>E146</f>
        <v>0</v>
      </c>
      <c r="F145" s="3"/>
    </row>
    <row r="146" spans="1:8" hidden="1" x14ac:dyDescent="0.25">
      <c r="A146" s="46"/>
      <c r="B146" s="46"/>
      <c r="C146" s="46"/>
      <c r="D146" s="46" t="s">
        <v>165</v>
      </c>
      <c r="E146" s="75"/>
      <c r="F146" s="46"/>
    </row>
    <row r="147" spans="1:8" hidden="1" x14ac:dyDescent="0.25">
      <c r="A147" s="46"/>
      <c r="B147" s="46"/>
      <c r="C147" s="46"/>
      <c r="D147" s="46"/>
      <c r="E147" s="75"/>
      <c r="F147" s="46"/>
    </row>
    <row r="148" spans="1:8" x14ac:dyDescent="0.25">
      <c r="A148" s="8">
        <v>1</v>
      </c>
      <c r="B148" s="8">
        <v>5</v>
      </c>
      <c r="C148" s="8"/>
      <c r="D148" s="10" t="s">
        <v>38</v>
      </c>
      <c r="E148" s="57">
        <f>E149+E152+E158</f>
        <v>17500000</v>
      </c>
      <c r="F148" s="8"/>
      <c r="H148" s="164">
        <v>800000</v>
      </c>
    </row>
    <row r="149" spans="1:8" ht="29.25" hidden="1" customHeight="1" x14ac:dyDescent="0.25">
      <c r="A149" s="3">
        <v>1</v>
      </c>
      <c r="B149" s="3">
        <v>5</v>
      </c>
      <c r="C149" s="34" t="s">
        <v>98</v>
      </c>
      <c r="D149" s="2" t="s">
        <v>39</v>
      </c>
      <c r="E149" s="35">
        <f>SUM(E150:E151)</f>
        <v>0</v>
      </c>
      <c r="F149" s="3" t="s">
        <v>1</v>
      </c>
    </row>
    <row r="150" spans="1:8" hidden="1" x14ac:dyDescent="0.25">
      <c r="A150" s="46"/>
      <c r="B150" s="46"/>
      <c r="C150" s="46"/>
      <c r="D150" s="42" t="s">
        <v>144</v>
      </c>
      <c r="E150" s="50">
        <v>0</v>
      </c>
      <c r="F150" s="42"/>
    </row>
    <row r="151" spans="1:8" hidden="1" x14ac:dyDescent="0.25">
      <c r="A151" s="46"/>
      <c r="B151" s="46"/>
      <c r="C151" s="46"/>
      <c r="D151" s="42" t="s">
        <v>166</v>
      </c>
      <c r="E151" s="50">
        <v>0</v>
      </c>
      <c r="F151" s="42"/>
    </row>
    <row r="152" spans="1:8" x14ac:dyDescent="0.25">
      <c r="A152" s="5">
        <v>1</v>
      </c>
      <c r="B152" s="5">
        <v>5</v>
      </c>
      <c r="C152" s="53" t="s">
        <v>125</v>
      </c>
      <c r="D152" s="79" t="s">
        <v>40</v>
      </c>
      <c r="E152" s="64">
        <f>SUM(E153:E157)</f>
        <v>17500000</v>
      </c>
      <c r="F152" s="63" t="s">
        <v>1</v>
      </c>
      <c r="H152" s="164">
        <v>700000</v>
      </c>
    </row>
    <row r="153" spans="1:8" x14ac:dyDescent="0.25">
      <c r="A153" s="5"/>
      <c r="B153" s="5"/>
      <c r="C153" s="53"/>
      <c r="D153" s="42" t="s">
        <v>547</v>
      </c>
      <c r="E153" s="50">
        <v>5000000</v>
      </c>
      <c r="F153" s="63"/>
      <c r="H153" s="164">
        <v>700000</v>
      </c>
    </row>
    <row r="154" spans="1:8" hidden="1" x14ac:dyDescent="0.25">
      <c r="A154" s="5"/>
      <c r="B154" s="5"/>
      <c r="C154" s="53"/>
      <c r="D154" s="42" t="s">
        <v>544</v>
      </c>
      <c r="E154" s="50">
        <v>0</v>
      </c>
      <c r="F154" s="63"/>
    </row>
    <row r="155" spans="1:8" hidden="1" x14ac:dyDescent="0.25">
      <c r="A155" s="5"/>
      <c r="B155" s="5"/>
      <c r="C155" s="53"/>
      <c r="D155" s="42" t="s">
        <v>545</v>
      </c>
      <c r="E155" s="50">
        <v>0</v>
      </c>
      <c r="F155" s="63"/>
    </row>
    <row r="156" spans="1:8" x14ac:dyDescent="0.25">
      <c r="A156" s="5"/>
      <c r="B156" s="5"/>
      <c r="C156" s="53"/>
      <c r="D156" s="42" t="s">
        <v>546</v>
      </c>
      <c r="E156" s="50">
        <v>10000000</v>
      </c>
      <c r="F156" s="63"/>
      <c r="H156" s="164">
        <f>600000*3</f>
        <v>1800000</v>
      </c>
    </row>
    <row r="157" spans="1:8" x14ac:dyDescent="0.25">
      <c r="A157" s="5"/>
      <c r="B157" s="5"/>
      <c r="C157" s="53"/>
      <c r="D157" s="42" t="s">
        <v>167</v>
      </c>
      <c r="E157" s="50">
        <v>2500000</v>
      </c>
      <c r="F157" s="42"/>
      <c r="H157" s="164">
        <f>500000*12</f>
        <v>6000000</v>
      </c>
    </row>
    <row r="158" spans="1:8" hidden="1" x14ac:dyDescent="0.25">
      <c r="A158" s="3">
        <v>1</v>
      </c>
      <c r="B158" s="81">
        <v>5</v>
      </c>
      <c r="C158" s="82" t="s">
        <v>159</v>
      </c>
      <c r="D158" s="83" t="s">
        <v>168</v>
      </c>
      <c r="E158" s="84">
        <f>E159</f>
        <v>0</v>
      </c>
      <c r="F158" s="81" t="s">
        <v>169</v>
      </c>
    </row>
    <row r="159" spans="1:8" hidden="1" x14ac:dyDescent="0.25">
      <c r="A159" s="46"/>
      <c r="B159" s="85"/>
      <c r="C159" s="85"/>
      <c r="D159" s="86" t="s">
        <v>170</v>
      </c>
      <c r="E159" s="87">
        <v>0</v>
      </c>
      <c r="F159" s="85"/>
    </row>
    <row r="160" spans="1:8" x14ac:dyDescent="0.25">
      <c r="A160" s="11">
        <v>2</v>
      </c>
      <c r="B160" s="11"/>
      <c r="C160" s="11"/>
      <c r="D160" s="11" t="s">
        <v>41</v>
      </c>
      <c r="E160" s="88">
        <f>E161+E205+E261+E291+E322+E329+E343+E348</f>
        <v>851105028.13999999</v>
      </c>
      <c r="F160" s="11"/>
      <c r="H160" s="164">
        <f>SUM(H148:H157)</f>
        <v>10000000</v>
      </c>
    </row>
    <row r="161" spans="1:8" x14ac:dyDescent="0.25">
      <c r="A161" s="8">
        <v>2</v>
      </c>
      <c r="B161" s="8">
        <v>1</v>
      </c>
      <c r="C161" s="8"/>
      <c r="D161" s="10" t="s">
        <v>42</v>
      </c>
      <c r="E161" s="57">
        <f>E162+E170+E172+E175+E179+E186+E189+E196+E203</f>
        <v>109264493.16</v>
      </c>
      <c r="F161" s="8"/>
    </row>
    <row r="162" spans="1:8" ht="36" customHeight="1" x14ac:dyDescent="0.25">
      <c r="A162" s="3">
        <v>2</v>
      </c>
      <c r="B162" s="3">
        <v>1</v>
      </c>
      <c r="C162" s="34" t="s">
        <v>85</v>
      </c>
      <c r="D162" s="2" t="s">
        <v>43</v>
      </c>
      <c r="E162" s="35">
        <f>SUM(E163:E166)</f>
        <v>39600000</v>
      </c>
      <c r="F162" s="2" t="s">
        <v>605</v>
      </c>
    </row>
    <row r="163" spans="1:8" x14ac:dyDescent="0.25">
      <c r="A163" s="46"/>
      <c r="B163" s="46"/>
      <c r="C163" s="46"/>
      <c r="D163" s="42" t="s">
        <v>171</v>
      </c>
      <c r="E163" s="50">
        <f>1800000*12</f>
        <v>21600000</v>
      </c>
      <c r="F163" s="42" t="s">
        <v>3</v>
      </c>
      <c r="G163" s="173">
        <f>E163/12</f>
        <v>1800000</v>
      </c>
    </row>
    <row r="164" spans="1:8" x14ac:dyDescent="0.25">
      <c r="A164" s="46"/>
      <c r="B164" s="46"/>
      <c r="C164" s="46"/>
      <c r="D164" s="42" t="s">
        <v>172</v>
      </c>
      <c r="E164" s="50">
        <f>1300000*12</f>
        <v>15600000</v>
      </c>
      <c r="F164" s="52" t="s">
        <v>9</v>
      </c>
      <c r="G164" s="173">
        <f>E164/12</f>
        <v>1300000</v>
      </c>
      <c r="H164" s="164" t="s">
        <v>3</v>
      </c>
    </row>
    <row r="165" spans="1:8" x14ac:dyDescent="0.25">
      <c r="A165" s="46"/>
      <c r="B165" s="46"/>
      <c r="C165" s="46"/>
      <c r="D165" s="42" t="s">
        <v>173</v>
      </c>
      <c r="E165" s="50">
        <v>1200000</v>
      </c>
      <c r="F165" s="42" t="s">
        <v>3</v>
      </c>
      <c r="G165" s="173">
        <f>E162-E164</f>
        <v>24000000</v>
      </c>
    </row>
    <row r="166" spans="1:8" x14ac:dyDescent="0.25">
      <c r="A166" s="46"/>
      <c r="B166" s="46"/>
      <c r="C166" s="46"/>
      <c r="D166" s="42" t="s">
        <v>174</v>
      </c>
      <c r="E166" s="50">
        <v>1200000</v>
      </c>
      <c r="F166" s="42" t="s">
        <v>3</v>
      </c>
    </row>
    <row r="167" spans="1:8" hidden="1" x14ac:dyDescent="0.25">
      <c r="A167" s="5">
        <v>2</v>
      </c>
      <c r="B167" s="5">
        <v>1</v>
      </c>
      <c r="C167" s="53" t="s">
        <v>89</v>
      </c>
      <c r="D167" s="5" t="s">
        <v>175</v>
      </c>
      <c r="E167" s="54"/>
      <c r="F167" s="5"/>
    </row>
    <row r="168" spans="1:8" hidden="1" x14ac:dyDescent="0.25">
      <c r="A168" s="5"/>
      <c r="B168" s="5"/>
      <c r="C168" s="53"/>
      <c r="D168" s="5"/>
      <c r="E168" s="54"/>
      <c r="F168" s="5"/>
    </row>
    <row r="169" spans="1:8" hidden="1" x14ac:dyDescent="0.25">
      <c r="A169" s="5"/>
      <c r="B169" s="5"/>
      <c r="C169" s="53"/>
      <c r="D169" s="5"/>
      <c r="E169" s="54"/>
      <c r="F169" s="5"/>
    </row>
    <row r="170" spans="1:8" hidden="1" x14ac:dyDescent="0.25">
      <c r="A170" s="89">
        <v>2</v>
      </c>
      <c r="B170" s="89">
        <v>1</v>
      </c>
      <c r="C170" s="90" t="s">
        <v>98</v>
      </c>
      <c r="D170" s="89" t="s">
        <v>176</v>
      </c>
      <c r="E170" s="91">
        <f>E171</f>
        <v>0</v>
      </c>
      <c r="F170" s="5" t="s">
        <v>3</v>
      </c>
    </row>
    <row r="171" spans="1:8" hidden="1" x14ac:dyDescent="0.25">
      <c r="A171" s="89"/>
      <c r="B171" s="89"/>
      <c r="C171" s="90"/>
      <c r="D171" s="48" t="s">
        <v>177</v>
      </c>
      <c r="E171" s="49">
        <v>0</v>
      </c>
      <c r="F171" s="5"/>
    </row>
    <row r="172" spans="1:8" ht="29.25" customHeight="1" x14ac:dyDescent="0.25">
      <c r="A172" s="3">
        <v>2</v>
      </c>
      <c r="B172" s="3">
        <v>1</v>
      </c>
      <c r="C172" s="34" t="s">
        <v>109</v>
      </c>
      <c r="D172" s="2" t="s">
        <v>44</v>
      </c>
      <c r="E172" s="35">
        <f>E173</f>
        <v>1912754.34</v>
      </c>
      <c r="F172" s="3" t="s">
        <v>1</v>
      </c>
    </row>
    <row r="173" spans="1:8" ht="18.75" customHeight="1" x14ac:dyDescent="0.25">
      <c r="A173" s="5"/>
      <c r="B173" s="5"/>
      <c r="C173" s="53"/>
      <c r="D173" s="71" t="s">
        <v>178</v>
      </c>
      <c r="E173" s="323">
        <v>1912754.34</v>
      </c>
      <c r="F173" s="92"/>
    </row>
    <row r="174" spans="1:8" hidden="1" x14ac:dyDescent="0.25">
      <c r="A174" s="5"/>
      <c r="B174" s="5"/>
      <c r="C174" s="53"/>
      <c r="D174" s="12"/>
      <c r="E174" s="54"/>
      <c r="F174" s="5"/>
    </row>
    <row r="175" spans="1:8" ht="30" x14ac:dyDescent="0.25">
      <c r="A175" s="3">
        <v>2</v>
      </c>
      <c r="B175" s="3">
        <v>1</v>
      </c>
      <c r="C175" s="34" t="s">
        <v>122</v>
      </c>
      <c r="D175" s="2" t="s">
        <v>45</v>
      </c>
      <c r="E175" s="35">
        <f>E176</f>
        <v>4251738.82</v>
      </c>
      <c r="F175" s="3" t="s">
        <v>6</v>
      </c>
    </row>
    <row r="176" spans="1:8" x14ac:dyDescent="0.25">
      <c r="A176" s="3"/>
      <c r="B176" s="3"/>
      <c r="C176" s="34"/>
      <c r="D176" s="207" t="s">
        <v>598</v>
      </c>
      <c r="E176" s="322">
        <v>4251738.82</v>
      </c>
      <c r="F176" s="227" t="s">
        <v>6</v>
      </c>
      <c r="G176" t="s">
        <v>3</v>
      </c>
    </row>
    <row r="177" spans="1:9" hidden="1" x14ac:dyDescent="0.25">
      <c r="A177" s="3"/>
      <c r="B177" s="3"/>
      <c r="C177" s="34"/>
      <c r="D177" s="43" t="s">
        <v>180</v>
      </c>
      <c r="E177" s="37">
        <v>0</v>
      </c>
      <c r="F177" s="36"/>
    </row>
    <row r="178" spans="1:9" hidden="1" x14ac:dyDescent="0.25">
      <c r="A178" s="3"/>
      <c r="B178" s="3"/>
      <c r="C178" s="34"/>
      <c r="D178" s="43" t="s">
        <v>181</v>
      </c>
      <c r="E178" s="37">
        <v>0</v>
      </c>
      <c r="F178" s="36"/>
    </row>
    <row r="179" spans="1:9" s="185" customFormat="1" ht="45" x14ac:dyDescent="0.25">
      <c r="A179" s="3">
        <v>2</v>
      </c>
      <c r="B179" s="3">
        <v>1</v>
      </c>
      <c r="C179" s="34" t="s">
        <v>125</v>
      </c>
      <c r="D179" s="2" t="s">
        <v>182</v>
      </c>
      <c r="E179" s="35">
        <f>SUM(E180:E185)</f>
        <v>2000000</v>
      </c>
      <c r="F179" s="3" t="s">
        <v>6</v>
      </c>
      <c r="H179" s="255"/>
      <c r="I179" s="255"/>
    </row>
    <row r="180" spans="1:9" x14ac:dyDescent="0.25">
      <c r="A180" s="3"/>
      <c r="B180" s="3"/>
      <c r="C180" s="34"/>
      <c r="D180" s="43" t="s">
        <v>562</v>
      </c>
      <c r="E180" s="40">
        <v>2000000</v>
      </c>
      <c r="F180" s="227" t="s">
        <v>6</v>
      </c>
      <c r="G180" t="s">
        <v>3</v>
      </c>
    </row>
    <row r="181" spans="1:9" hidden="1" x14ac:dyDescent="0.25">
      <c r="A181" s="3"/>
      <c r="B181" s="3"/>
      <c r="C181" s="34"/>
      <c r="D181" s="43" t="s">
        <v>184</v>
      </c>
      <c r="E181" s="37">
        <v>0</v>
      </c>
      <c r="F181" s="36"/>
    </row>
    <row r="182" spans="1:9" hidden="1" x14ac:dyDescent="0.25">
      <c r="A182" s="3"/>
      <c r="B182" s="3"/>
      <c r="C182" s="34"/>
      <c r="D182" s="43" t="s">
        <v>185</v>
      </c>
      <c r="E182" s="37"/>
      <c r="F182" s="36"/>
    </row>
    <row r="183" spans="1:9" hidden="1" x14ac:dyDescent="0.25">
      <c r="A183" s="3"/>
      <c r="B183" s="3"/>
      <c r="C183" s="34"/>
      <c r="D183" s="43" t="s">
        <v>186</v>
      </c>
      <c r="E183" s="37"/>
      <c r="F183" s="36"/>
    </row>
    <row r="184" spans="1:9" hidden="1" x14ac:dyDescent="0.25">
      <c r="A184" s="3"/>
      <c r="B184" s="3"/>
      <c r="C184" s="34"/>
      <c r="D184" s="43" t="s">
        <v>187</v>
      </c>
      <c r="E184" s="37"/>
      <c r="F184" s="36"/>
    </row>
    <row r="185" spans="1:9" hidden="1" x14ac:dyDescent="0.25">
      <c r="A185" s="3"/>
      <c r="B185" s="3"/>
      <c r="C185" s="34"/>
      <c r="D185" s="43" t="s">
        <v>408</v>
      </c>
      <c r="E185" s="37">
        <v>0</v>
      </c>
      <c r="F185" s="76"/>
    </row>
    <row r="186" spans="1:9" s="185" customFormat="1" ht="30" hidden="1" x14ac:dyDescent="0.25">
      <c r="A186" s="3">
        <v>2</v>
      </c>
      <c r="B186" s="3">
        <v>1</v>
      </c>
      <c r="C186" s="34" t="s">
        <v>159</v>
      </c>
      <c r="D186" s="2" t="s">
        <v>188</v>
      </c>
      <c r="E186" s="35">
        <f>SUM(E187:E188)</f>
        <v>0</v>
      </c>
      <c r="F186" s="3" t="s">
        <v>3</v>
      </c>
      <c r="H186" s="255"/>
      <c r="I186" s="255"/>
    </row>
    <row r="187" spans="1:9" hidden="1" x14ac:dyDescent="0.25">
      <c r="A187" s="3"/>
      <c r="B187" s="3"/>
      <c r="C187" s="34"/>
      <c r="D187" s="43" t="s">
        <v>189</v>
      </c>
      <c r="E187" s="37">
        <v>0</v>
      </c>
      <c r="F187" s="3"/>
    </row>
    <row r="188" spans="1:9" hidden="1" x14ac:dyDescent="0.25">
      <c r="A188" s="3"/>
      <c r="B188" s="3"/>
      <c r="C188" s="34"/>
      <c r="D188" s="43" t="s">
        <v>190</v>
      </c>
      <c r="E188" s="37">
        <v>0</v>
      </c>
      <c r="F188" s="3"/>
    </row>
    <row r="189" spans="1:9" x14ac:dyDescent="0.25">
      <c r="A189" s="5">
        <v>2</v>
      </c>
      <c r="B189" s="5">
        <v>1</v>
      </c>
      <c r="C189" s="53" t="s">
        <v>160</v>
      </c>
      <c r="D189" s="12" t="s">
        <v>46</v>
      </c>
      <c r="E189" s="54">
        <f>E190+E192+E193+E194+E195</f>
        <v>44500000</v>
      </c>
      <c r="F189" s="5" t="s">
        <v>3</v>
      </c>
    </row>
    <row r="190" spans="1:9" x14ac:dyDescent="0.25">
      <c r="A190" s="5"/>
      <c r="B190" s="5"/>
      <c r="C190" s="53"/>
      <c r="D190" s="71" t="s">
        <v>191</v>
      </c>
      <c r="E190" s="50">
        <v>36000000</v>
      </c>
      <c r="F190" s="5"/>
      <c r="H190" s="164">
        <f>E190/12</f>
        <v>3000000</v>
      </c>
      <c r="I190" s="164">
        <f>H190/2</f>
        <v>1500000</v>
      </c>
    </row>
    <row r="191" spans="1:9" hidden="1" x14ac:dyDescent="0.25">
      <c r="A191" s="5"/>
      <c r="B191" s="5"/>
      <c r="C191" s="53"/>
      <c r="D191" s="71" t="s">
        <v>192</v>
      </c>
      <c r="E191" s="50">
        <v>0</v>
      </c>
      <c r="F191" s="5"/>
    </row>
    <row r="192" spans="1:9" x14ac:dyDescent="0.25">
      <c r="A192" s="5"/>
      <c r="B192" s="5"/>
      <c r="C192" s="53"/>
      <c r="D192" s="71" t="s">
        <v>149</v>
      </c>
      <c r="E192" s="50">
        <v>2000000</v>
      </c>
      <c r="F192" s="5"/>
    </row>
    <row r="193" spans="1:8" ht="12.75" customHeight="1" x14ac:dyDescent="0.25">
      <c r="A193" s="5"/>
      <c r="B193" s="5"/>
      <c r="C193" s="53"/>
      <c r="D193" s="71" t="s">
        <v>193</v>
      </c>
      <c r="E193" s="50">
        <v>500000</v>
      </c>
      <c r="F193" s="5"/>
    </row>
    <row r="194" spans="1:8" x14ac:dyDescent="0.25">
      <c r="A194" s="5"/>
      <c r="B194" s="5"/>
      <c r="C194" s="53"/>
      <c r="D194" s="71" t="s">
        <v>194</v>
      </c>
      <c r="E194" s="50">
        <v>3000000</v>
      </c>
      <c r="F194" s="5"/>
      <c r="H194" s="164">
        <f>E194/12</f>
        <v>250000</v>
      </c>
    </row>
    <row r="195" spans="1:8" x14ac:dyDescent="0.25">
      <c r="A195" s="5"/>
      <c r="B195" s="5"/>
      <c r="C195" s="53"/>
      <c r="D195" s="71" t="s">
        <v>195</v>
      </c>
      <c r="E195" s="50">
        <v>3000000</v>
      </c>
      <c r="F195" s="5"/>
      <c r="H195" s="164">
        <f>E195/12</f>
        <v>250000</v>
      </c>
    </row>
    <row r="196" spans="1:8" x14ac:dyDescent="0.25">
      <c r="A196" s="5">
        <v>2</v>
      </c>
      <c r="B196" s="5">
        <v>1</v>
      </c>
      <c r="C196" s="53" t="s">
        <v>196</v>
      </c>
      <c r="D196" s="12" t="s">
        <v>197</v>
      </c>
      <c r="E196" s="54">
        <f>SUM(E197:E200)</f>
        <v>12000000</v>
      </c>
      <c r="F196" s="5" t="s">
        <v>3</v>
      </c>
    </row>
    <row r="197" spans="1:8" x14ac:dyDescent="0.25">
      <c r="A197" s="5"/>
      <c r="B197" s="5"/>
      <c r="C197" s="53"/>
      <c r="D197" s="71" t="s">
        <v>548</v>
      </c>
      <c r="E197" s="51">
        <v>4000000</v>
      </c>
      <c r="F197" s="42"/>
    </row>
    <row r="198" spans="1:8" x14ac:dyDescent="0.25">
      <c r="A198" s="5"/>
      <c r="B198" s="5"/>
      <c r="C198" s="53"/>
      <c r="D198" s="71" t="s">
        <v>608</v>
      </c>
      <c r="E198" s="51">
        <v>2500000</v>
      </c>
      <c r="F198" s="42"/>
    </row>
    <row r="199" spans="1:8" x14ac:dyDescent="0.25">
      <c r="A199" s="5"/>
      <c r="B199" s="5"/>
      <c r="C199" s="53"/>
      <c r="D199" s="71" t="s">
        <v>549</v>
      </c>
      <c r="E199" s="51">
        <v>2500000</v>
      </c>
      <c r="F199" s="42"/>
    </row>
    <row r="200" spans="1:8" x14ac:dyDescent="0.25">
      <c r="A200" s="5"/>
      <c r="B200" s="5"/>
      <c r="C200" s="53"/>
      <c r="D200" s="71" t="s">
        <v>550</v>
      </c>
      <c r="E200" s="51">
        <v>3000000</v>
      </c>
      <c r="F200" s="42"/>
    </row>
    <row r="201" spans="1:8" hidden="1" x14ac:dyDescent="0.25">
      <c r="A201" s="5"/>
      <c r="B201" s="5"/>
      <c r="C201" s="53"/>
      <c r="D201" s="71"/>
      <c r="E201" s="54"/>
      <c r="F201" s="5"/>
    </row>
    <row r="202" spans="1:8" hidden="1" x14ac:dyDescent="0.25">
      <c r="A202" s="5"/>
      <c r="B202" s="5"/>
      <c r="C202" s="53"/>
      <c r="D202" s="71" t="s">
        <v>198</v>
      </c>
      <c r="E202" s="50">
        <v>0</v>
      </c>
      <c r="F202" s="5"/>
    </row>
    <row r="203" spans="1:8" x14ac:dyDescent="0.25">
      <c r="A203" s="5">
        <v>2</v>
      </c>
      <c r="B203" s="5">
        <v>1</v>
      </c>
      <c r="C203" s="53" t="s">
        <v>199</v>
      </c>
      <c r="D203" s="12" t="s">
        <v>200</v>
      </c>
      <c r="E203" s="54">
        <f>E204</f>
        <v>5000000</v>
      </c>
      <c r="F203" s="5" t="s">
        <v>0</v>
      </c>
    </row>
    <row r="204" spans="1:8" x14ac:dyDescent="0.25">
      <c r="A204" s="5"/>
      <c r="B204" s="5"/>
      <c r="C204" s="53"/>
      <c r="D204" s="71" t="s">
        <v>201</v>
      </c>
      <c r="E204" s="51">
        <v>5000000</v>
      </c>
      <c r="F204" s="195" t="s">
        <v>0</v>
      </c>
      <c r="G204" t="s">
        <v>3</v>
      </c>
      <c r="H204" s="164">
        <f>E204/500000</f>
        <v>10</v>
      </c>
    </row>
    <row r="205" spans="1:8" x14ac:dyDescent="0.25">
      <c r="A205" s="8">
        <v>2</v>
      </c>
      <c r="B205" s="8">
        <v>2</v>
      </c>
      <c r="C205" s="8"/>
      <c r="D205" s="6" t="s">
        <v>47</v>
      </c>
      <c r="E205" s="57">
        <f>E206+E210+E217+E220+E252+E254+E256</f>
        <v>186010534.97999999</v>
      </c>
      <c r="F205" s="8" t="s">
        <v>3</v>
      </c>
    </row>
    <row r="206" spans="1:8" x14ac:dyDescent="0.25">
      <c r="A206" s="5">
        <v>2</v>
      </c>
      <c r="B206" s="5">
        <v>2</v>
      </c>
      <c r="C206" s="53" t="s">
        <v>85</v>
      </c>
      <c r="D206" s="12" t="s">
        <v>202</v>
      </c>
      <c r="E206" s="54">
        <f>SUM(E207:E209)</f>
        <v>24600000</v>
      </c>
      <c r="F206" s="5" t="s">
        <v>604</v>
      </c>
    </row>
    <row r="207" spans="1:8" x14ac:dyDescent="0.25">
      <c r="A207" s="46"/>
      <c r="B207" s="46"/>
      <c r="C207" s="46"/>
      <c r="D207" s="222" t="s">
        <v>599</v>
      </c>
      <c r="E207" s="51">
        <v>3000000</v>
      </c>
      <c r="F207" s="52" t="s">
        <v>6</v>
      </c>
      <c r="G207" t="s">
        <v>3</v>
      </c>
    </row>
    <row r="208" spans="1:8" hidden="1" x14ac:dyDescent="0.25">
      <c r="A208" s="46"/>
      <c r="B208" s="46"/>
      <c r="C208" s="46"/>
      <c r="D208" s="71" t="s">
        <v>204</v>
      </c>
      <c r="E208" s="51">
        <v>0</v>
      </c>
      <c r="F208" s="42"/>
    </row>
    <row r="209" spans="1:8" x14ac:dyDescent="0.25">
      <c r="A209" s="46"/>
      <c r="B209" s="46"/>
      <c r="C209" s="46"/>
      <c r="D209" s="71" t="s">
        <v>205</v>
      </c>
      <c r="E209" s="50">
        <f>1800000*12</f>
        <v>21600000</v>
      </c>
      <c r="F209" s="42" t="s">
        <v>3</v>
      </c>
      <c r="H209" s="164">
        <f>E209/12</f>
        <v>1800000</v>
      </c>
    </row>
    <row r="210" spans="1:8" x14ac:dyDescent="0.25">
      <c r="A210" s="5">
        <v>2</v>
      </c>
      <c r="B210" s="5">
        <v>2</v>
      </c>
      <c r="C210" s="53" t="s">
        <v>89</v>
      </c>
      <c r="D210" s="12" t="s">
        <v>48</v>
      </c>
      <c r="E210" s="54">
        <f>SUM(E211:E216)</f>
        <v>129600000</v>
      </c>
      <c r="F210" s="5" t="s">
        <v>3</v>
      </c>
    </row>
    <row r="211" spans="1:8" x14ac:dyDescent="0.25">
      <c r="A211" s="46"/>
      <c r="B211" s="46"/>
      <c r="C211" s="46"/>
      <c r="D211" s="71" t="s">
        <v>206</v>
      </c>
      <c r="E211" s="50">
        <v>40000000</v>
      </c>
      <c r="F211" s="42" t="s">
        <v>3</v>
      </c>
      <c r="H211" s="164">
        <f>E211/10000</f>
        <v>4000</v>
      </c>
    </row>
    <row r="212" spans="1:8" x14ac:dyDescent="0.25">
      <c r="A212" s="46"/>
      <c r="B212" s="46"/>
      <c r="C212" s="46"/>
      <c r="D212" s="71" t="s">
        <v>402</v>
      </c>
      <c r="E212" s="50">
        <v>12000000</v>
      </c>
      <c r="F212" s="42" t="s">
        <v>3</v>
      </c>
      <c r="H212" s="164">
        <f>200000*5*12</f>
        <v>12000000</v>
      </c>
    </row>
    <row r="213" spans="1:8" hidden="1" x14ac:dyDescent="0.25">
      <c r="A213" s="97"/>
      <c r="B213" s="97"/>
      <c r="C213" s="97"/>
      <c r="D213" s="43" t="s">
        <v>207</v>
      </c>
      <c r="E213" s="37">
        <v>0</v>
      </c>
      <c r="F213" s="36" t="s">
        <v>3</v>
      </c>
    </row>
    <row r="214" spans="1:8" x14ac:dyDescent="0.25">
      <c r="A214" s="46"/>
      <c r="B214" s="46"/>
      <c r="C214" s="46"/>
      <c r="D214" s="98" t="s">
        <v>209</v>
      </c>
      <c r="E214" s="50">
        <v>2000000</v>
      </c>
      <c r="F214" s="42" t="s">
        <v>3</v>
      </c>
      <c r="H214" s="164">
        <f>E210-E211-E212</f>
        <v>77600000</v>
      </c>
    </row>
    <row r="215" spans="1:8" x14ac:dyDescent="0.25">
      <c r="A215" s="46"/>
      <c r="B215" s="46"/>
      <c r="C215" s="46"/>
      <c r="D215" s="98" t="s">
        <v>210</v>
      </c>
      <c r="E215" s="50">
        <v>9600000</v>
      </c>
      <c r="F215" s="42" t="s">
        <v>3</v>
      </c>
    </row>
    <row r="216" spans="1:8" ht="16.5" customHeight="1" x14ac:dyDescent="0.25">
      <c r="A216" s="46"/>
      <c r="B216" s="46"/>
      <c r="C216" s="46"/>
      <c r="D216" s="71" t="s">
        <v>211</v>
      </c>
      <c r="E216" s="50">
        <f>110000*50*12</f>
        <v>66000000</v>
      </c>
      <c r="F216" s="42" t="s">
        <v>3</v>
      </c>
      <c r="H216" s="164">
        <f>E216/12/50</f>
        <v>110000</v>
      </c>
    </row>
    <row r="217" spans="1:8" x14ac:dyDescent="0.25">
      <c r="A217" s="5">
        <v>2</v>
      </c>
      <c r="B217" s="5">
        <v>2</v>
      </c>
      <c r="C217" s="53" t="s">
        <v>98</v>
      </c>
      <c r="D217" s="12" t="s">
        <v>49</v>
      </c>
      <c r="E217" s="54">
        <f>SUM(E218:E219)</f>
        <v>2000000</v>
      </c>
      <c r="F217" s="5" t="s">
        <v>2</v>
      </c>
    </row>
    <row r="218" spans="1:8" x14ac:dyDescent="0.25">
      <c r="A218" s="5"/>
      <c r="B218" s="5"/>
      <c r="C218" s="53"/>
      <c r="D218" s="71" t="s">
        <v>606</v>
      </c>
      <c r="E218" s="50">
        <v>2000000</v>
      </c>
      <c r="F218" s="52" t="s">
        <v>2</v>
      </c>
      <c r="G218" t="s">
        <v>3</v>
      </c>
      <c r="H218" s="164">
        <f>E218/40</f>
        <v>50000</v>
      </c>
    </row>
    <row r="219" spans="1:8" x14ac:dyDescent="0.25">
      <c r="A219" s="5"/>
      <c r="B219" s="5"/>
      <c r="C219" s="53"/>
      <c r="D219" s="71" t="s">
        <v>213</v>
      </c>
      <c r="E219" s="51">
        <v>0</v>
      </c>
      <c r="F219" s="52" t="s">
        <v>2</v>
      </c>
      <c r="G219" t="s">
        <v>3</v>
      </c>
    </row>
    <row r="220" spans="1:8" x14ac:dyDescent="0.25">
      <c r="A220" s="5">
        <v>2</v>
      </c>
      <c r="B220" s="5">
        <v>2</v>
      </c>
      <c r="C220" s="53" t="s">
        <v>109</v>
      </c>
      <c r="D220" s="12" t="s">
        <v>50</v>
      </c>
      <c r="E220" s="54">
        <f>E221+E227+E231+E232+E233+E234+E235+E240+E243+E247+E248+E249</f>
        <v>6600000</v>
      </c>
      <c r="F220" s="5" t="s">
        <v>3</v>
      </c>
      <c r="H220" s="164">
        <f>50*12</f>
        <v>600</v>
      </c>
    </row>
    <row r="221" spans="1:8" ht="30" x14ac:dyDescent="0.25">
      <c r="A221" s="5"/>
      <c r="B221" s="3"/>
      <c r="C221" s="34"/>
      <c r="D221" s="99" t="s">
        <v>554</v>
      </c>
      <c r="E221" s="100">
        <f>SUM(E222:E226)</f>
        <v>6600000</v>
      </c>
      <c r="F221" s="76" t="s">
        <v>3</v>
      </c>
    </row>
    <row r="222" spans="1:8" x14ac:dyDescent="0.25">
      <c r="A222" s="5"/>
      <c r="B222" s="3"/>
      <c r="C222" s="34"/>
      <c r="D222" s="101" t="s">
        <v>215</v>
      </c>
      <c r="E222" s="37">
        <v>1000000</v>
      </c>
      <c r="F222" s="36" t="s">
        <v>3</v>
      </c>
    </row>
    <row r="223" spans="1:8" x14ac:dyDescent="0.25">
      <c r="A223" s="5"/>
      <c r="B223" s="3"/>
      <c r="C223" s="34"/>
      <c r="D223" s="101" t="s">
        <v>551</v>
      </c>
      <c r="E223" s="37">
        <v>1000000</v>
      </c>
      <c r="F223" s="36" t="s">
        <v>3</v>
      </c>
    </row>
    <row r="224" spans="1:8" x14ac:dyDescent="0.25">
      <c r="A224" s="5"/>
      <c r="B224" s="3"/>
      <c r="C224" s="34"/>
      <c r="D224" s="101" t="s">
        <v>552</v>
      </c>
      <c r="E224" s="37">
        <v>1600000</v>
      </c>
      <c r="F224" s="36"/>
    </row>
    <row r="225" spans="1:6" x14ac:dyDescent="0.25">
      <c r="A225" s="5"/>
      <c r="B225" s="3"/>
      <c r="C225" s="34"/>
      <c r="D225" s="101" t="s">
        <v>553</v>
      </c>
      <c r="E225" s="37">
        <v>3000000</v>
      </c>
      <c r="F225" s="36"/>
    </row>
    <row r="226" spans="1:6" x14ac:dyDescent="0.25">
      <c r="A226" s="5"/>
      <c r="B226" s="3"/>
      <c r="C226" s="34"/>
      <c r="D226" s="101" t="s">
        <v>217</v>
      </c>
      <c r="E226" s="40">
        <v>0</v>
      </c>
      <c r="F226" s="36" t="s">
        <v>3</v>
      </c>
    </row>
    <row r="227" spans="1:6" hidden="1" x14ac:dyDescent="0.25">
      <c r="A227" s="5"/>
      <c r="B227" s="3"/>
      <c r="C227" s="34"/>
      <c r="D227" s="102" t="s">
        <v>218</v>
      </c>
      <c r="E227" s="100"/>
      <c r="F227" s="76" t="s">
        <v>3</v>
      </c>
    </row>
    <row r="228" spans="1:6" hidden="1" x14ac:dyDescent="0.25">
      <c r="A228" s="5"/>
      <c r="B228" s="3"/>
      <c r="C228" s="34"/>
      <c r="D228" s="101" t="s">
        <v>219</v>
      </c>
      <c r="E228" s="37"/>
      <c r="F228" s="36" t="s">
        <v>3</v>
      </c>
    </row>
    <row r="229" spans="1:6" hidden="1" x14ac:dyDescent="0.25">
      <c r="A229" s="5"/>
      <c r="B229" s="3"/>
      <c r="C229" s="34"/>
      <c r="D229" s="101" t="s">
        <v>220</v>
      </c>
      <c r="E229" s="37"/>
      <c r="F229" s="36" t="s">
        <v>3</v>
      </c>
    </row>
    <row r="230" spans="1:6" hidden="1" x14ac:dyDescent="0.25">
      <c r="A230" s="5"/>
      <c r="B230" s="3"/>
      <c r="C230" s="34"/>
      <c r="D230" s="101" t="s">
        <v>221</v>
      </c>
      <c r="E230" s="37"/>
      <c r="F230" s="36" t="s">
        <v>3</v>
      </c>
    </row>
    <row r="231" spans="1:6" hidden="1" x14ac:dyDescent="0.25">
      <c r="A231" s="5"/>
      <c r="B231" s="3"/>
      <c r="C231" s="34"/>
      <c r="D231" s="102" t="s">
        <v>222</v>
      </c>
      <c r="E231" s="100"/>
      <c r="F231" s="76" t="s">
        <v>3</v>
      </c>
    </row>
    <row r="232" spans="1:6" hidden="1" x14ac:dyDescent="0.25">
      <c r="A232" s="5"/>
      <c r="B232" s="3"/>
      <c r="C232" s="34"/>
      <c r="D232" s="102" t="s">
        <v>223</v>
      </c>
      <c r="E232" s="100"/>
      <c r="F232" s="76" t="s">
        <v>3</v>
      </c>
    </row>
    <row r="233" spans="1:6" hidden="1" x14ac:dyDescent="0.25">
      <c r="A233" s="5"/>
      <c r="B233" s="3"/>
      <c r="C233" s="34"/>
      <c r="D233" s="102" t="s">
        <v>224</v>
      </c>
      <c r="E233" s="100"/>
      <c r="F233" s="76" t="s">
        <v>3</v>
      </c>
    </row>
    <row r="234" spans="1:6" hidden="1" x14ac:dyDescent="0.25">
      <c r="A234" s="5"/>
      <c r="B234" s="3"/>
      <c r="C234" s="34"/>
      <c r="D234" s="102" t="s">
        <v>225</v>
      </c>
      <c r="E234" s="100"/>
      <c r="F234" s="76" t="s">
        <v>3</v>
      </c>
    </row>
    <row r="235" spans="1:6" hidden="1" x14ac:dyDescent="0.25">
      <c r="A235" s="5"/>
      <c r="B235" s="3"/>
      <c r="C235" s="34"/>
      <c r="D235" s="102" t="s">
        <v>226</v>
      </c>
      <c r="E235" s="100"/>
      <c r="F235" s="76" t="s">
        <v>3</v>
      </c>
    </row>
    <row r="236" spans="1:6" hidden="1" x14ac:dyDescent="0.25">
      <c r="A236" s="5"/>
      <c r="B236" s="3"/>
      <c r="C236" s="34"/>
      <c r="D236" s="101" t="s">
        <v>227</v>
      </c>
      <c r="E236" s="37"/>
      <c r="F236" s="36" t="s">
        <v>3</v>
      </c>
    </row>
    <row r="237" spans="1:6" hidden="1" x14ac:dyDescent="0.25">
      <c r="A237" s="5"/>
      <c r="B237" s="3"/>
      <c r="C237" s="34"/>
      <c r="D237" s="101" t="s">
        <v>228</v>
      </c>
      <c r="E237" s="37"/>
      <c r="F237" s="36" t="s">
        <v>3</v>
      </c>
    </row>
    <row r="238" spans="1:6" hidden="1" x14ac:dyDescent="0.25">
      <c r="A238" s="5"/>
      <c r="B238" s="3"/>
      <c r="C238" s="34"/>
      <c r="D238" s="101" t="s">
        <v>229</v>
      </c>
      <c r="E238" s="37"/>
      <c r="F238" s="36" t="s">
        <v>3</v>
      </c>
    </row>
    <row r="239" spans="1:6" hidden="1" x14ac:dyDescent="0.25">
      <c r="A239" s="53"/>
      <c r="B239" s="3"/>
      <c r="C239" s="34"/>
      <c r="D239" s="101" t="s">
        <v>230</v>
      </c>
      <c r="E239" s="37"/>
      <c r="F239" s="36" t="s">
        <v>3</v>
      </c>
    </row>
    <row r="240" spans="1:6" ht="30" hidden="1" x14ac:dyDescent="0.25">
      <c r="A240" s="53"/>
      <c r="B240" s="3"/>
      <c r="C240" s="34"/>
      <c r="D240" s="102" t="s">
        <v>231</v>
      </c>
      <c r="E240" s="100"/>
      <c r="F240" s="76" t="s">
        <v>3</v>
      </c>
    </row>
    <row r="241" spans="1:9" hidden="1" x14ac:dyDescent="0.25">
      <c r="A241" s="53"/>
      <c r="B241" s="3"/>
      <c r="C241" s="34"/>
      <c r="D241" s="101" t="s">
        <v>232</v>
      </c>
      <c r="E241" s="37"/>
      <c r="F241" s="36" t="s">
        <v>3</v>
      </c>
    </row>
    <row r="242" spans="1:9" hidden="1" x14ac:dyDescent="0.25">
      <c r="A242" s="53"/>
      <c r="B242" s="3"/>
      <c r="C242" s="34"/>
      <c r="D242" s="101" t="s">
        <v>233</v>
      </c>
      <c r="E242" s="37"/>
      <c r="F242" s="36" t="s">
        <v>3</v>
      </c>
    </row>
    <row r="243" spans="1:9" hidden="1" x14ac:dyDescent="0.25">
      <c r="A243" s="5"/>
      <c r="B243" s="3"/>
      <c r="C243" s="34"/>
      <c r="D243" s="99" t="s">
        <v>234</v>
      </c>
      <c r="E243" s="100"/>
      <c r="F243" s="76" t="s">
        <v>3</v>
      </c>
    </row>
    <row r="244" spans="1:9" hidden="1" x14ac:dyDescent="0.25">
      <c r="A244" s="53"/>
      <c r="B244" s="3"/>
      <c r="C244" s="34"/>
      <c r="D244" s="101" t="s">
        <v>209</v>
      </c>
      <c r="E244" s="37"/>
      <c r="F244" s="36" t="s">
        <v>3</v>
      </c>
    </row>
    <row r="245" spans="1:9" hidden="1" x14ac:dyDescent="0.25">
      <c r="A245" s="53"/>
      <c r="B245" s="3"/>
      <c r="C245" s="34"/>
      <c r="D245" s="101" t="s">
        <v>235</v>
      </c>
      <c r="E245" s="37"/>
      <c r="F245" s="36" t="s">
        <v>3</v>
      </c>
    </row>
    <row r="246" spans="1:9" hidden="1" x14ac:dyDescent="0.25">
      <c r="A246" s="5"/>
      <c r="B246" s="3"/>
      <c r="C246" s="34"/>
      <c r="D246" s="101" t="s">
        <v>236</v>
      </c>
      <c r="E246" s="37"/>
      <c r="F246" s="36" t="s">
        <v>3</v>
      </c>
    </row>
    <row r="247" spans="1:9" ht="30" hidden="1" x14ac:dyDescent="0.25">
      <c r="A247" s="5"/>
      <c r="B247" s="3"/>
      <c r="C247" s="34"/>
      <c r="D247" s="102" t="s">
        <v>237</v>
      </c>
      <c r="E247" s="100"/>
      <c r="F247" s="76" t="s">
        <v>3</v>
      </c>
    </row>
    <row r="248" spans="1:9" ht="30" hidden="1" x14ac:dyDescent="0.25">
      <c r="A248" s="5"/>
      <c r="B248" s="3"/>
      <c r="C248" s="34"/>
      <c r="D248" s="102" t="s">
        <v>238</v>
      </c>
      <c r="E248" s="100"/>
      <c r="F248" s="76" t="s">
        <v>3</v>
      </c>
    </row>
    <row r="249" spans="1:9" hidden="1" x14ac:dyDescent="0.25">
      <c r="A249" s="5"/>
      <c r="B249" s="3"/>
      <c r="C249" s="34"/>
      <c r="D249" s="99" t="s">
        <v>239</v>
      </c>
      <c r="E249" s="100">
        <f>SUM(E250:E251)</f>
        <v>0</v>
      </c>
      <c r="F249" s="76" t="s">
        <v>3</v>
      </c>
    </row>
    <row r="250" spans="1:9" hidden="1" x14ac:dyDescent="0.25">
      <c r="A250" s="5"/>
      <c r="B250" s="5"/>
      <c r="C250" s="53"/>
      <c r="D250" s="71" t="s">
        <v>212</v>
      </c>
      <c r="E250" s="50">
        <v>0</v>
      </c>
      <c r="F250" s="42" t="s">
        <v>3</v>
      </c>
    </row>
    <row r="251" spans="1:9" hidden="1" x14ac:dyDescent="0.25">
      <c r="A251" s="5"/>
      <c r="B251" s="5"/>
      <c r="C251" s="53"/>
      <c r="D251" s="71" t="s">
        <v>210</v>
      </c>
      <c r="E251" s="50">
        <v>0</v>
      </c>
      <c r="F251" s="42" t="s">
        <v>3</v>
      </c>
    </row>
    <row r="252" spans="1:9" x14ac:dyDescent="0.25">
      <c r="A252" s="5">
        <v>2</v>
      </c>
      <c r="B252" s="5">
        <v>2</v>
      </c>
      <c r="C252" s="53" t="s">
        <v>125</v>
      </c>
      <c r="D252" s="12" t="s">
        <v>51</v>
      </c>
      <c r="E252" s="54">
        <f>E253</f>
        <v>19800000</v>
      </c>
      <c r="F252" s="5" t="s">
        <v>3</v>
      </c>
    </row>
    <row r="253" spans="1:9" x14ac:dyDescent="0.25">
      <c r="A253" s="46"/>
      <c r="B253" s="46"/>
      <c r="C253" s="46"/>
      <c r="D253" s="71" t="s">
        <v>240</v>
      </c>
      <c r="E253" s="50">
        <f>110000*15*12</f>
        <v>19800000</v>
      </c>
      <c r="F253" s="42" t="s">
        <v>3</v>
      </c>
      <c r="H253" s="164">
        <f>E253/15/12</f>
        <v>110000</v>
      </c>
      <c r="I253" s="164">
        <f>H253*12</f>
        <v>1320000</v>
      </c>
    </row>
    <row r="254" spans="1:9" x14ac:dyDescent="0.25">
      <c r="A254" s="5">
        <v>2</v>
      </c>
      <c r="B254" s="5">
        <v>2</v>
      </c>
      <c r="C254" s="53" t="s">
        <v>160</v>
      </c>
      <c r="D254" s="12" t="s">
        <v>241</v>
      </c>
      <c r="E254" s="54">
        <f>E255</f>
        <v>1410534.98</v>
      </c>
      <c r="F254" s="5" t="s">
        <v>9</v>
      </c>
      <c r="I254" s="164">
        <f>I253*6%</f>
        <v>79200</v>
      </c>
    </row>
    <row r="255" spans="1:9" x14ac:dyDescent="0.25">
      <c r="A255" s="5"/>
      <c r="B255" s="5"/>
      <c r="C255" s="53"/>
      <c r="D255" s="98" t="s">
        <v>208</v>
      </c>
      <c r="E255" s="323">
        <v>1410534.98</v>
      </c>
      <c r="F255" s="52" t="s">
        <v>9</v>
      </c>
      <c r="G255" t="s">
        <v>3</v>
      </c>
      <c r="H255" s="164">
        <f>15*12</f>
        <v>180</v>
      </c>
    </row>
    <row r="256" spans="1:9" s="185" customFormat="1" ht="30" x14ac:dyDescent="0.25">
      <c r="A256" s="3">
        <v>2</v>
      </c>
      <c r="B256" s="3">
        <v>2</v>
      </c>
      <c r="C256" s="34" t="s">
        <v>196</v>
      </c>
      <c r="D256" s="2" t="s">
        <v>242</v>
      </c>
      <c r="E256" s="35">
        <f>E257+E260</f>
        <v>2000000</v>
      </c>
      <c r="F256" s="3" t="s">
        <v>9</v>
      </c>
      <c r="H256" s="255"/>
      <c r="I256" s="255"/>
    </row>
    <row r="257" spans="1:9" x14ac:dyDescent="0.25">
      <c r="A257" s="3"/>
      <c r="B257" s="3"/>
      <c r="C257" s="34"/>
      <c r="D257" s="43" t="s">
        <v>243</v>
      </c>
      <c r="E257" s="40">
        <v>2000000</v>
      </c>
      <c r="F257" s="227" t="s">
        <v>9</v>
      </c>
      <c r="G257" t="s">
        <v>3</v>
      </c>
    </row>
    <row r="258" spans="1:9" hidden="1" x14ac:dyDescent="0.25">
      <c r="A258" s="3"/>
      <c r="B258" s="3"/>
      <c r="C258" s="34"/>
      <c r="D258" s="98" t="s">
        <v>412</v>
      </c>
      <c r="E258" s="50">
        <v>0</v>
      </c>
      <c r="F258" s="42"/>
    </row>
    <row r="259" spans="1:9" hidden="1" x14ac:dyDescent="0.25">
      <c r="A259" s="3"/>
      <c r="B259" s="3"/>
      <c r="C259" s="34"/>
      <c r="D259" s="98" t="s">
        <v>411</v>
      </c>
      <c r="E259" s="50">
        <v>0</v>
      </c>
      <c r="F259" s="42"/>
    </row>
    <row r="260" spans="1:9" hidden="1" x14ac:dyDescent="0.25">
      <c r="A260" s="5"/>
      <c r="B260" s="5"/>
      <c r="C260" s="53"/>
      <c r="D260" s="43" t="s">
        <v>413</v>
      </c>
      <c r="E260" s="37">
        <v>0</v>
      </c>
      <c r="F260" s="42" t="s">
        <v>3</v>
      </c>
    </row>
    <row r="261" spans="1:9" x14ac:dyDescent="0.25">
      <c r="A261" s="8">
        <v>2</v>
      </c>
      <c r="B261" s="8">
        <v>3</v>
      </c>
      <c r="C261" s="8"/>
      <c r="D261" s="6" t="s">
        <v>244</v>
      </c>
      <c r="E261" s="57">
        <f>E262+E264+E265+E267+E269+E276+E280+E283+E287+E289</f>
        <v>226030000</v>
      </c>
      <c r="F261" s="8"/>
    </row>
    <row r="262" spans="1:9" s="185" customFormat="1" hidden="1" x14ac:dyDescent="0.25">
      <c r="A262" s="89">
        <v>2</v>
      </c>
      <c r="B262" s="89">
        <v>3</v>
      </c>
      <c r="C262" s="90" t="s">
        <v>85</v>
      </c>
      <c r="D262" s="17" t="s">
        <v>245</v>
      </c>
      <c r="E262" s="91">
        <f>E263</f>
        <v>0</v>
      </c>
      <c r="F262" s="89" t="s">
        <v>3</v>
      </c>
      <c r="H262" s="255"/>
      <c r="I262" s="255"/>
    </row>
    <row r="263" spans="1:9" ht="30" hidden="1" x14ac:dyDescent="0.25">
      <c r="A263" s="89"/>
      <c r="B263" s="89"/>
      <c r="C263" s="90"/>
      <c r="D263" s="103" t="s">
        <v>246</v>
      </c>
      <c r="E263" s="104"/>
      <c r="F263" s="105" t="s">
        <v>3</v>
      </c>
    </row>
    <row r="264" spans="1:9" hidden="1" x14ac:dyDescent="0.25">
      <c r="A264" s="5">
        <v>2</v>
      </c>
      <c r="B264" s="5">
        <v>3</v>
      </c>
      <c r="C264" s="53" t="s">
        <v>89</v>
      </c>
      <c r="D264" s="12" t="s">
        <v>247</v>
      </c>
      <c r="E264" s="54"/>
      <c r="F264" s="5"/>
    </row>
    <row r="265" spans="1:9" hidden="1" x14ac:dyDescent="0.25">
      <c r="A265" s="5">
        <v>2</v>
      </c>
      <c r="B265" s="5">
        <v>3</v>
      </c>
      <c r="C265" s="53" t="s">
        <v>98</v>
      </c>
      <c r="D265" s="12" t="s">
        <v>248</v>
      </c>
      <c r="E265" s="54">
        <f>SUM(E266)</f>
        <v>0</v>
      </c>
      <c r="F265" s="5" t="s">
        <v>3</v>
      </c>
    </row>
    <row r="266" spans="1:9" ht="30" hidden="1" x14ac:dyDescent="0.25">
      <c r="A266" s="5"/>
      <c r="B266" s="5"/>
      <c r="C266" s="53"/>
      <c r="D266" s="43" t="s">
        <v>249</v>
      </c>
      <c r="E266" s="37">
        <v>0</v>
      </c>
      <c r="F266" s="5"/>
    </row>
    <row r="267" spans="1:9" hidden="1" x14ac:dyDescent="0.25">
      <c r="A267" s="5">
        <v>2</v>
      </c>
      <c r="B267" s="5">
        <v>3</v>
      </c>
      <c r="C267" s="53" t="s">
        <v>122</v>
      </c>
      <c r="D267" s="12" t="s">
        <v>250</v>
      </c>
      <c r="E267" s="196"/>
      <c r="F267" s="5"/>
    </row>
    <row r="268" spans="1:9" s="204" customFormat="1" hidden="1" x14ac:dyDescent="0.25">
      <c r="A268" s="42"/>
      <c r="B268" s="42"/>
      <c r="C268" s="55"/>
      <c r="D268" s="71" t="s">
        <v>572</v>
      </c>
      <c r="E268" s="51"/>
      <c r="F268" s="42"/>
      <c r="H268" s="337"/>
      <c r="I268" s="337"/>
    </row>
    <row r="269" spans="1:9" ht="30" x14ac:dyDescent="0.25">
      <c r="A269" s="3">
        <v>2</v>
      </c>
      <c r="B269" s="3">
        <v>3</v>
      </c>
      <c r="C269" s="34" t="s">
        <v>199</v>
      </c>
      <c r="D269" s="2" t="s">
        <v>251</v>
      </c>
      <c r="E269" s="35">
        <f>SUM(E270:E275)</f>
        <v>104030000</v>
      </c>
      <c r="F269" s="3" t="s">
        <v>3</v>
      </c>
    </row>
    <row r="270" spans="1:9" hidden="1" x14ac:dyDescent="0.25">
      <c r="A270" s="5"/>
      <c r="B270" s="5"/>
      <c r="C270" s="53"/>
      <c r="D270" s="43" t="s">
        <v>574</v>
      </c>
      <c r="E270" s="40">
        <v>0</v>
      </c>
      <c r="F270" s="5"/>
    </row>
    <row r="271" spans="1:9" hidden="1" x14ac:dyDescent="0.25">
      <c r="A271" s="5"/>
      <c r="B271" s="5"/>
      <c r="C271" s="53"/>
      <c r="D271" s="43" t="s">
        <v>567</v>
      </c>
      <c r="E271" s="40">
        <v>0</v>
      </c>
      <c r="F271" s="5"/>
    </row>
    <row r="272" spans="1:9" ht="30" x14ac:dyDescent="0.25">
      <c r="A272" s="5"/>
      <c r="B272" s="5"/>
      <c r="C272" s="53"/>
      <c r="D272" s="351" t="s">
        <v>671</v>
      </c>
      <c r="E272" s="322">
        <v>99030000</v>
      </c>
      <c r="F272" s="5"/>
      <c r="G272" t="s">
        <v>607</v>
      </c>
      <c r="H272" s="336">
        <f>E272*3%</f>
        <v>2970900</v>
      </c>
      <c r="I272" s="164">
        <f>E272*30%</f>
        <v>29709000</v>
      </c>
    </row>
    <row r="273" spans="1:9" x14ac:dyDescent="0.25">
      <c r="A273" s="5"/>
      <c r="B273" s="5"/>
      <c r="C273" s="53"/>
      <c r="D273" s="207" t="s">
        <v>607</v>
      </c>
      <c r="E273" s="40">
        <v>5000000</v>
      </c>
      <c r="F273" s="5"/>
      <c r="H273" s="336"/>
      <c r="I273" s="164">
        <f>E272-I272</f>
        <v>69321000</v>
      </c>
    </row>
    <row r="274" spans="1:9" x14ac:dyDescent="0.25">
      <c r="A274" s="5"/>
      <c r="B274" s="5"/>
      <c r="C274" s="53"/>
      <c r="D274" s="207" t="s">
        <v>580</v>
      </c>
      <c r="E274" s="326">
        <v>0</v>
      </c>
      <c r="F274" s="5"/>
    </row>
    <row r="275" spans="1:9" hidden="1" x14ac:dyDescent="0.25">
      <c r="A275" s="5"/>
      <c r="B275" s="5"/>
      <c r="C275" s="53"/>
      <c r="D275" s="43" t="s">
        <v>568</v>
      </c>
      <c r="E275" s="50"/>
      <c r="F275" s="5"/>
    </row>
    <row r="276" spans="1:9" ht="30" x14ac:dyDescent="0.25">
      <c r="A276" s="3">
        <v>2</v>
      </c>
      <c r="B276" s="3">
        <v>3</v>
      </c>
      <c r="C276" s="34" t="s">
        <v>163</v>
      </c>
      <c r="D276" s="2" t="s">
        <v>252</v>
      </c>
      <c r="E276" s="35">
        <f>SUM(E277:E279)</f>
        <v>17000000</v>
      </c>
      <c r="F276" s="3" t="s">
        <v>3</v>
      </c>
    </row>
    <row r="277" spans="1:9" s="204" customFormat="1" x14ac:dyDescent="0.25">
      <c r="A277" s="36"/>
      <c r="B277" s="36"/>
      <c r="C277" s="38"/>
      <c r="D277" s="43" t="s">
        <v>613</v>
      </c>
      <c r="E277" s="40">
        <v>17000000</v>
      </c>
      <c r="F277" s="36"/>
      <c r="H277" s="338">
        <f>E277*3%</f>
        <v>510000</v>
      </c>
      <c r="I277" s="337"/>
    </row>
    <row r="278" spans="1:9" x14ac:dyDescent="0.25">
      <c r="A278" s="3"/>
      <c r="B278" s="3"/>
      <c r="C278" s="34"/>
      <c r="D278" s="207" t="s">
        <v>607</v>
      </c>
      <c r="E278" s="35"/>
      <c r="F278" s="3"/>
      <c r="H278" s="164">
        <f>M5*20%</f>
        <v>172670800</v>
      </c>
    </row>
    <row r="279" spans="1:9" hidden="1" x14ac:dyDescent="0.25">
      <c r="A279" s="3"/>
      <c r="B279" s="3"/>
      <c r="C279" s="34"/>
      <c r="D279" s="43" t="s">
        <v>592</v>
      </c>
      <c r="E279" s="37">
        <v>0</v>
      </c>
      <c r="F279" s="5"/>
    </row>
    <row r="280" spans="1:9" ht="30" x14ac:dyDescent="0.25">
      <c r="A280" s="3">
        <v>2</v>
      </c>
      <c r="B280" s="3">
        <v>3</v>
      </c>
      <c r="C280" s="34" t="s">
        <v>254</v>
      </c>
      <c r="D280" s="2" t="s">
        <v>255</v>
      </c>
      <c r="E280" s="35">
        <f>SUM(E281:E282)</f>
        <v>105000000</v>
      </c>
      <c r="F280" s="3" t="s">
        <v>3</v>
      </c>
      <c r="H280" s="164">
        <f>E280+E309+E421+E423</f>
        <v>265147619.25</v>
      </c>
    </row>
    <row r="281" spans="1:9" x14ac:dyDescent="0.25">
      <c r="A281" s="5"/>
      <c r="B281" s="5"/>
      <c r="C281" s="53"/>
      <c r="D281" s="277" t="s">
        <v>665</v>
      </c>
      <c r="E281" s="325">
        <v>100000000</v>
      </c>
      <c r="F281" s="42"/>
      <c r="G281" s="274">
        <f>E281*3%</f>
        <v>3000000</v>
      </c>
      <c r="H281" s="164">
        <f>(E280+E309+E421+E423)/M5*100</f>
        <v>30.711344274770259</v>
      </c>
      <c r="I281" s="343">
        <f>M5*20%</f>
        <v>172670800</v>
      </c>
    </row>
    <row r="282" spans="1:9" x14ac:dyDescent="0.25">
      <c r="A282" s="5"/>
      <c r="B282" s="5"/>
      <c r="C282" s="53"/>
      <c r="D282" s="207" t="s">
        <v>607</v>
      </c>
      <c r="E282" s="40">
        <v>5000000</v>
      </c>
      <c r="F282" s="5"/>
      <c r="I282" s="164">
        <f>E281*30%</f>
        <v>30000000</v>
      </c>
    </row>
    <row r="283" spans="1:9" ht="45" hidden="1" x14ac:dyDescent="0.25">
      <c r="A283" s="3">
        <v>2</v>
      </c>
      <c r="B283" s="3">
        <v>3</v>
      </c>
      <c r="C283" s="34" t="s">
        <v>257</v>
      </c>
      <c r="D283" s="2" t="s">
        <v>258</v>
      </c>
      <c r="E283" s="35">
        <f>SUM(E284:E286)</f>
        <v>0</v>
      </c>
      <c r="F283" s="3" t="s">
        <v>6</v>
      </c>
    </row>
    <row r="284" spans="1:9" ht="30" hidden="1" x14ac:dyDescent="0.25">
      <c r="A284" s="3"/>
      <c r="B284" s="3"/>
      <c r="C284" s="34"/>
      <c r="D284" s="43" t="s">
        <v>566</v>
      </c>
      <c r="E284" s="40">
        <v>0</v>
      </c>
      <c r="F284" s="3"/>
    </row>
    <row r="285" spans="1:9" hidden="1" x14ac:dyDescent="0.25">
      <c r="A285" s="3"/>
      <c r="B285" s="3"/>
      <c r="C285" s="34"/>
      <c r="D285" s="43" t="s">
        <v>573</v>
      </c>
      <c r="E285" s="40"/>
      <c r="F285" s="3"/>
    </row>
    <row r="286" spans="1:9" hidden="1" x14ac:dyDescent="0.25">
      <c r="A286" s="5"/>
      <c r="B286" s="5"/>
      <c r="C286" s="53"/>
      <c r="D286" s="71" t="s">
        <v>571</v>
      </c>
      <c r="E286" s="51">
        <v>0</v>
      </c>
      <c r="F286" s="5"/>
    </row>
    <row r="287" spans="1:9" ht="30" hidden="1" x14ac:dyDescent="0.25">
      <c r="A287" s="3">
        <v>2</v>
      </c>
      <c r="B287" s="3">
        <v>3</v>
      </c>
      <c r="C287" s="34" t="s">
        <v>261</v>
      </c>
      <c r="D287" s="2" t="s">
        <v>262</v>
      </c>
      <c r="E287" s="35">
        <f>E288</f>
        <v>0</v>
      </c>
      <c r="F287" s="3" t="s">
        <v>3</v>
      </c>
    </row>
    <row r="288" spans="1:9" ht="30" hidden="1" x14ac:dyDescent="0.25">
      <c r="A288" s="3"/>
      <c r="B288" s="3"/>
      <c r="C288" s="34"/>
      <c r="D288" s="43" t="s">
        <v>263</v>
      </c>
      <c r="E288" s="37">
        <v>0</v>
      </c>
      <c r="F288" s="3"/>
    </row>
    <row r="289" spans="1:9" ht="30" hidden="1" x14ac:dyDescent="0.25">
      <c r="A289" s="3">
        <v>2</v>
      </c>
      <c r="B289" s="3">
        <v>3</v>
      </c>
      <c r="C289" s="34" t="s">
        <v>264</v>
      </c>
      <c r="D289" s="2" t="s">
        <v>265</v>
      </c>
      <c r="E289" s="35">
        <f>SUM(E290:E290)</f>
        <v>0</v>
      </c>
      <c r="F289" s="3" t="s">
        <v>3</v>
      </c>
    </row>
    <row r="290" spans="1:9" hidden="1" x14ac:dyDescent="0.25">
      <c r="A290" s="3"/>
      <c r="B290" s="3"/>
      <c r="C290" s="34"/>
      <c r="D290" s="43" t="s">
        <v>266</v>
      </c>
      <c r="E290" s="40">
        <v>0</v>
      </c>
      <c r="F290" s="3"/>
    </row>
    <row r="291" spans="1:9" x14ac:dyDescent="0.25">
      <c r="A291" s="8">
        <v>2</v>
      </c>
      <c r="B291" s="8">
        <v>4</v>
      </c>
      <c r="C291" s="8"/>
      <c r="D291" s="6" t="s">
        <v>267</v>
      </c>
      <c r="E291" s="57">
        <f>E292+E294+E296+E303+E305+E308+E311+E313+E318</f>
        <v>264000000</v>
      </c>
      <c r="F291" s="8"/>
      <c r="I291" s="164">
        <f>E281-I282</f>
        <v>70000000</v>
      </c>
    </row>
    <row r="292" spans="1:9" ht="30" hidden="1" x14ac:dyDescent="0.25">
      <c r="A292" s="3">
        <v>2</v>
      </c>
      <c r="B292" s="3">
        <v>4</v>
      </c>
      <c r="C292" s="34" t="s">
        <v>85</v>
      </c>
      <c r="D292" s="2" t="s">
        <v>268</v>
      </c>
      <c r="E292" s="221">
        <f>SUM(E293:E293)</f>
        <v>0</v>
      </c>
      <c r="F292" s="3" t="s">
        <v>3</v>
      </c>
    </row>
    <row r="293" spans="1:9" ht="30" hidden="1" x14ac:dyDescent="0.25">
      <c r="A293" s="5"/>
      <c r="B293" s="3"/>
      <c r="C293" s="34"/>
      <c r="D293" s="43" t="s">
        <v>269</v>
      </c>
      <c r="E293" s="37">
        <v>0</v>
      </c>
      <c r="F293" s="3" t="s">
        <v>3</v>
      </c>
    </row>
    <row r="294" spans="1:9" hidden="1" x14ac:dyDescent="0.25">
      <c r="A294" s="3">
        <v>2</v>
      </c>
      <c r="B294" s="3">
        <v>4</v>
      </c>
      <c r="C294" s="34" t="s">
        <v>98</v>
      </c>
      <c r="D294" s="2" t="s">
        <v>270</v>
      </c>
      <c r="E294" s="35">
        <f>SUM(E295:E295)</f>
        <v>0</v>
      </c>
      <c r="F294" s="3" t="s">
        <v>3</v>
      </c>
    </row>
    <row r="295" spans="1:9" hidden="1" x14ac:dyDescent="0.25">
      <c r="A295" s="5"/>
      <c r="B295" s="3"/>
      <c r="C295" s="34"/>
      <c r="D295" s="43" t="s">
        <v>271</v>
      </c>
      <c r="E295" s="37">
        <v>0</v>
      </c>
      <c r="F295" s="3"/>
    </row>
    <row r="296" spans="1:9" s="185" customFormat="1" x14ac:dyDescent="0.25">
      <c r="A296" s="3">
        <v>2</v>
      </c>
      <c r="B296" s="3">
        <v>4</v>
      </c>
      <c r="C296" s="34" t="s">
        <v>159</v>
      </c>
      <c r="D296" s="2" t="s">
        <v>272</v>
      </c>
      <c r="E296" s="35">
        <f>SUM(E297:E302)</f>
        <v>104000000</v>
      </c>
      <c r="F296" s="3" t="s">
        <v>3</v>
      </c>
      <c r="H296" s="255"/>
      <c r="I296" s="255"/>
    </row>
    <row r="297" spans="1:9" x14ac:dyDescent="0.25">
      <c r="A297" s="5"/>
      <c r="B297" s="5"/>
      <c r="C297" s="53"/>
      <c r="D297" s="71" t="s">
        <v>556</v>
      </c>
      <c r="E297" s="50">
        <f>2000000*12</f>
        <v>24000000</v>
      </c>
      <c r="F297" s="3"/>
    </row>
    <row r="298" spans="1:9" x14ac:dyDescent="0.25">
      <c r="A298" s="5"/>
      <c r="B298" s="5"/>
      <c r="C298" s="53"/>
      <c r="D298" s="71" t="s">
        <v>555</v>
      </c>
      <c r="E298" s="50">
        <f>2000000*12</f>
        <v>24000000</v>
      </c>
      <c r="F298" s="46"/>
      <c r="H298" s="164">
        <v>1500000</v>
      </c>
    </row>
    <row r="299" spans="1:9" x14ac:dyDescent="0.25">
      <c r="A299" s="5"/>
      <c r="B299" s="5"/>
      <c r="C299" s="53"/>
      <c r="D299" s="277" t="s">
        <v>616</v>
      </c>
      <c r="E299" s="50">
        <f>1500000*2*6</f>
        <v>18000000</v>
      </c>
      <c r="F299" s="46" t="s">
        <v>666</v>
      </c>
      <c r="H299" s="164">
        <v>1300000</v>
      </c>
    </row>
    <row r="300" spans="1:9" x14ac:dyDescent="0.25">
      <c r="A300" s="5"/>
      <c r="B300" s="5"/>
      <c r="C300" s="53"/>
      <c r="D300" s="71" t="s">
        <v>276</v>
      </c>
      <c r="E300" s="50">
        <f>1500000*12</f>
        <v>18000000</v>
      </c>
      <c r="F300" s="46"/>
      <c r="H300" s="164">
        <v>1100000</v>
      </c>
    </row>
    <row r="301" spans="1:9" hidden="1" x14ac:dyDescent="0.25">
      <c r="A301" s="5"/>
      <c r="B301" s="5"/>
      <c r="C301" s="53"/>
      <c r="D301" s="71"/>
      <c r="E301" s="50">
        <v>0</v>
      </c>
      <c r="F301" s="46"/>
      <c r="H301" s="164">
        <v>1100000</v>
      </c>
    </row>
    <row r="302" spans="1:9" x14ac:dyDescent="0.25">
      <c r="A302" s="3"/>
      <c r="B302" s="3"/>
      <c r="C302" s="34"/>
      <c r="D302" s="43" t="s">
        <v>416</v>
      </c>
      <c r="E302" s="37">
        <v>20000000</v>
      </c>
      <c r="F302" s="97"/>
      <c r="H302" s="164">
        <v>1000000</v>
      </c>
    </row>
    <row r="303" spans="1:9" hidden="1" x14ac:dyDescent="0.25">
      <c r="A303" s="5">
        <v>2</v>
      </c>
      <c r="B303" s="5">
        <v>4</v>
      </c>
      <c r="C303" s="53" t="s">
        <v>160</v>
      </c>
      <c r="D303" s="12" t="s">
        <v>280</v>
      </c>
      <c r="E303" s="54">
        <f>SUM(E304:E304)</f>
        <v>0</v>
      </c>
      <c r="F303" s="5" t="s">
        <v>3</v>
      </c>
      <c r="H303" s="164">
        <f>SUM(H298:H302)</f>
        <v>6000000</v>
      </c>
    </row>
    <row r="304" spans="1:9" hidden="1" x14ac:dyDescent="0.25">
      <c r="A304" s="5"/>
      <c r="B304" s="5"/>
      <c r="C304" s="53"/>
      <c r="D304" s="71" t="s">
        <v>281</v>
      </c>
      <c r="E304" s="50">
        <v>0</v>
      </c>
      <c r="F304" s="5"/>
      <c r="H304" s="164">
        <f>H303*12</f>
        <v>72000000</v>
      </c>
    </row>
    <row r="305" spans="1:9" ht="30" hidden="1" x14ac:dyDescent="0.25">
      <c r="A305" s="3">
        <v>2</v>
      </c>
      <c r="B305" s="3">
        <v>4</v>
      </c>
      <c r="C305" s="34">
        <v>11</v>
      </c>
      <c r="D305" s="2" t="s">
        <v>282</v>
      </c>
      <c r="E305" s="35">
        <f>SUM(E306:E307)</f>
        <v>0</v>
      </c>
      <c r="F305" s="3" t="s">
        <v>3</v>
      </c>
    </row>
    <row r="306" spans="1:9" hidden="1" x14ac:dyDescent="0.25">
      <c r="A306" s="3"/>
      <c r="B306" s="3"/>
      <c r="C306" s="34"/>
      <c r="D306" s="71" t="s">
        <v>564</v>
      </c>
      <c r="E306" s="51">
        <v>0</v>
      </c>
      <c r="F306" s="42" t="s">
        <v>3</v>
      </c>
      <c r="G306">
        <v>187000000</v>
      </c>
    </row>
    <row r="307" spans="1:9" hidden="1" x14ac:dyDescent="0.25">
      <c r="A307" s="3"/>
      <c r="B307" s="3"/>
      <c r="C307" s="34"/>
      <c r="D307" s="71" t="s">
        <v>283</v>
      </c>
      <c r="E307" s="50">
        <v>0</v>
      </c>
      <c r="F307" s="42" t="s">
        <v>4</v>
      </c>
    </row>
    <row r="308" spans="1:9" ht="30" x14ac:dyDescent="0.25">
      <c r="A308" s="3">
        <v>2</v>
      </c>
      <c r="B308" s="3">
        <v>4</v>
      </c>
      <c r="C308" s="106">
        <v>12</v>
      </c>
      <c r="D308" s="107" t="s">
        <v>284</v>
      </c>
      <c r="E308" s="35">
        <f>E309</f>
        <v>100000000</v>
      </c>
      <c r="F308" s="3" t="s">
        <v>3</v>
      </c>
    </row>
    <row r="309" spans="1:9" x14ac:dyDescent="0.25">
      <c r="A309" s="5"/>
      <c r="B309" s="5"/>
      <c r="C309" s="108"/>
      <c r="D309" s="43" t="s">
        <v>670</v>
      </c>
      <c r="E309" s="322">
        <v>100000000</v>
      </c>
      <c r="F309" s="92"/>
      <c r="G309" s="173">
        <f>E309/1300</f>
        <v>76923.076923076922</v>
      </c>
    </row>
    <row r="310" spans="1:9" hidden="1" x14ac:dyDescent="0.25">
      <c r="A310" s="3">
        <v>2</v>
      </c>
      <c r="B310" s="3">
        <v>4</v>
      </c>
      <c r="C310" s="34" t="s">
        <v>286</v>
      </c>
      <c r="D310" s="2" t="s">
        <v>287</v>
      </c>
      <c r="E310" s="109"/>
      <c r="F310" s="97"/>
    </row>
    <row r="311" spans="1:9" ht="30" hidden="1" x14ac:dyDescent="0.25">
      <c r="A311" s="3">
        <v>2</v>
      </c>
      <c r="B311" s="3">
        <v>4</v>
      </c>
      <c r="C311" s="34" t="s">
        <v>257</v>
      </c>
      <c r="D311" s="2" t="s">
        <v>288</v>
      </c>
      <c r="E311" s="35">
        <f>E312</f>
        <v>0</v>
      </c>
      <c r="F311" s="3" t="s">
        <v>3</v>
      </c>
    </row>
    <row r="312" spans="1:9" hidden="1" x14ac:dyDescent="0.25">
      <c r="A312" s="5"/>
      <c r="B312" s="5"/>
      <c r="C312" s="53"/>
      <c r="D312" s="43" t="s">
        <v>289</v>
      </c>
      <c r="E312" s="37">
        <v>0</v>
      </c>
      <c r="F312" s="92"/>
    </row>
    <row r="313" spans="1:9" s="185" customFormat="1" ht="30" x14ac:dyDescent="0.25">
      <c r="A313" s="3">
        <v>2</v>
      </c>
      <c r="B313" s="3">
        <v>4</v>
      </c>
      <c r="C313" s="34" t="s">
        <v>261</v>
      </c>
      <c r="D313" s="2" t="s">
        <v>290</v>
      </c>
      <c r="E313" s="35">
        <f>SUM(E314:E316)</f>
        <v>55000000</v>
      </c>
      <c r="F313" s="3" t="s">
        <v>3</v>
      </c>
      <c r="H313" s="255"/>
      <c r="I313" s="255"/>
    </row>
    <row r="314" spans="1:9" x14ac:dyDescent="0.25">
      <c r="A314" s="3"/>
      <c r="B314" s="3"/>
      <c r="C314" s="34"/>
      <c r="D314" s="43" t="s">
        <v>587</v>
      </c>
      <c r="E314" s="322">
        <v>50000000</v>
      </c>
      <c r="F314" s="36" t="s">
        <v>3</v>
      </c>
      <c r="G314" s="173">
        <f>E314*11%</f>
        <v>5500000</v>
      </c>
      <c r="H314" s="164">
        <f>119000000+G314</f>
        <v>124500000</v>
      </c>
      <c r="I314" s="336">
        <f>E314*3%</f>
        <v>1500000</v>
      </c>
    </row>
    <row r="315" spans="1:9" hidden="1" x14ac:dyDescent="0.25">
      <c r="A315" s="5"/>
      <c r="B315" s="5"/>
      <c r="C315" s="53"/>
      <c r="D315" s="222" t="s">
        <v>590</v>
      </c>
      <c r="E315" s="50">
        <v>0</v>
      </c>
      <c r="F315" s="42"/>
    </row>
    <row r="316" spans="1:9" x14ac:dyDescent="0.25">
      <c r="A316" s="5"/>
      <c r="B316" s="5"/>
      <c r="C316" s="53"/>
      <c r="D316" s="222" t="s">
        <v>607</v>
      </c>
      <c r="E316" s="51">
        <v>5000000</v>
      </c>
      <c r="F316" s="42" t="s">
        <v>3</v>
      </c>
    </row>
    <row r="317" spans="1:9" hidden="1" x14ac:dyDescent="0.25">
      <c r="A317" s="5"/>
      <c r="B317" s="5"/>
      <c r="C317" s="53"/>
      <c r="D317" s="71"/>
      <c r="E317" s="64"/>
      <c r="F317" s="5"/>
    </row>
    <row r="318" spans="1:9" ht="30" x14ac:dyDescent="0.25">
      <c r="A318" s="3">
        <v>2</v>
      </c>
      <c r="B318" s="3">
        <v>4</v>
      </c>
      <c r="C318" s="34" t="s">
        <v>264</v>
      </c>
      <c r="D318" s="110" t="s">
        <v>292</v>
      </c>
      <c r="E318" s="45">
        <f>E319</f>
        <v>5000000</v>
      </c>
      <c r="F318" s="4" t="s">
        <v>2</v>
      </c>
    </row>
    <row r="319" spans="1:9" s="263" customFormat="1" x14ac:dyDescent="0.25">
      <c r="A319" s="48"/>
      <c r="B319" s="48"/>
      <c r="C319" s="62"/>
      <c r="D319" s="120" t="s">
        <v>589</v>
      </c>
      <c r="E319" s="205">
        <v>5000000</v>
      </c>
      <c r="F319" s="273" t="s">
        <v>2</v>
      </c>
      <c r="G319" s="263" t="s">
        <v>3</v>
      </c>
      <c r="H319" s="339"/>
      <c r="I319" s="339"/>
    </row>
    <row r="320" spans="1:9" hidden="1" x14ac:dyDescent="0.25">
      <c r="A320" s="5"/>
      <c r="B320" s="5"/>
      <c r="C320" s="53"/>
      <c r="D320" s="111"/>
      <c r="E320" s="112"/>
      <c r="F320" s="113"/>
    </row>
    <row r="321" spans="1:9" hidden="1" x14ac:dyDescent="0.25">
      <c r="A321" s="5"/>
      <c r="B321" s="5"/>
      <c r="C321" s="53"/>
      <c r="D321" s="111"/>
      <c r="E321" s="112"/>
      <c r="F321" s="113"/>
    </row>
    <row r="322" spans="1:9" x14ac:dyDescent="0.25">
      <c r="A322" s="10">
        <v>2</v>
      </c>
      <c r="B322" s="10">
        <v>5</v>
      </c>
      <c r="C322" s="10"/>
      <c r="D322" s="114" t="s">
        <v>294</v>
      </c>
      <c r="E322" s="115">
        <f>E323+E326</f>
        <v>2400000</v>
      </c>
      <c r="F322" s="10"/>
    </row>
    <row r="323" spans="1:9" s="185" customFormat="1" x14ac:dyDescent="0.25">
      <c r="A323" s="92">
        <v>2</v>
      </c>
      <c r="B323" s="5">
        <v>5</v>
      </c>
      <c r="C323" s="53" t="s">
        <v>89</v>
      </c>
      <c r="D323" s="5" t="s">
        <v>295</v>
      </c>
      <c r="E323" s="54">
        <f>SUM(E324:E325)</f>
        <v>2400000</v>
      </c>
      <c r="F323" s="5" t="s">
        <v>9</v>
      </c>
      <c r="H323" s="255"/>
      <c r="I323" s="255"/>
    </row>
    <row r="324" spans="1:9" x14ac:dyDescent="0.25">
      <c r="A324" s="92"/>
      <c r="B324" s="92"/>
      <c r="C324" s="116"/>
      <c r="D324" s="42" t="s">
        <v>296</v>
      </c>
      <c r="E324" s="50">
        <v>1000000</v>
      </c>
      <c r="F324" s="52" t="s">
        <v>9</v>
      </c>
      <c r="G324" t="s">
        <v>3</v>
      </c>
    </row>
    <row r="325" spans="1:9" x14ac:dyDescent="0.25">
      <c r="A325" s="92"/>
      <c r="B325" s="92"/>
      <c r="C325" s="116"/>
      <c r="D325" s="42" t="s">
        <v>297</v>
      </c>
      <c r="E325" s="50">
        <v>1400000</v>
      </c>
      <c r="F325" s="52" t="s">
        <v>9</v>
      </c>
      <c r="G325" t="s">
        <v>3</v>
      </c>
    </row>
    <row r="326" spans="1:9" s="185" customFormat="1" ht="30" hidden="1" x14ac:dyDescent="0.25">
      <c r="A326" s="5">
        <v>2</v>
      </c>
      <c r="B326" s="5">
        <v>5</v>
      </c>
      <c r="C326" s="53" t="s">
        <v>98</v>
      </c>
      <c r="D326" s="187" t="s">
        <v>298</v>
      </c>
      <c r="E326" s="35">
        <f>E327</f>
        <v>0</v>
      </c>
      <c r="F326" s="3" t="s">
        <v>3</v>
      </c>
      <c r="H326" s="255"/>
      <c r="I326" s="255"/>
    </row>
    <row r="327" spans="1:9" hidden="1" x14ac:dyDescent="0.25">
      <c r="A327" s="92"/>
      <c r="B327" s="92"/>
      <c r="C327" s="92"/>
      <c r="D327" s="71" t="s">
        <v>299</v>
      </c>
      <c r="E327" s="37"/>
      <c r="F327" s="36" t="s">
        <v>3</v>
      </c>
    </row>
    <row r="328" spans="1:9" hidden="1" x14ac:dyDescent="0.25">
      <c r="A328" s="92"/>
      <c r="B328" s="92"/>
      <c r="C328" s="92"/>
      <c r="D328" s="71"/>
      <c r="E328" s="50"/>
      <c r="F328" s="42"/>
    </row>
    <row r="329" spans="1:9" x14ac:dyDescent="0.25">
      <c r="A329" s="117">
        <v>2</v>
      </c>
      <c r="B329" s="117">
        <v>6</v>
      </c>
      <c r="C329" s="117"/>
      <c r="D329" s="13" t="s">
        <v>52</v>
      </c>
      <c r="E329" s="118">
        <f>E330+E334+E340</f>
        <v>45400000</v>
      </c>
      <c r="F329" s="69"/>
    </row>
    <row r="330" spans="1:9" hidden="1" x14ac:dyDescent="0.25">
      <c r="A330" s="5">
        <v>2</v>
      </c>
      <c r="B330" s="5">
        <v>6</v>
      </c>
      <c r="C330" s="53" t="s">
        <v>85</v>
      </c>
      <c r="D330" s="12" t="s">
        <v>300</v>
      </c>
      <c r="E330" s="54">
        <f>SUM(E331:E333)</f>
        <v>0</v>
      </c>
      <c r="F330" s="5" t="s">
        <v>3</v>
      </c>
    </row>
    <row r="331" spans="1:9" hidden="1" x14ac:dyDescent="0.25">
      <c r="A331" s="5"/>
      <c r="B331" s="5"/>
      <c r="C331" s="53"/>
      <c r="D331" s="71" t="s">
        <v>301</v>
      </c>
      <c r="E331" s="75"/>
      <c r="F331" s="46"/>
    </row>
    <row r="332" spans="1:9" hidden="1" x14ac:dyDescent="0.25">
      <c r="A332" s="5"/>
      <c r="B332" s="5"/>
      <c r="C332" s="53"/>
      <c r="D332" s="71" t="s">
        <v>302</v>
      </c>
      <c r="E332" s="75"/>
      <c r="F332" s="46"/>
    </row>
    <row r="333" spans="1:9" hidden="1" x14ac:dyDescent="0.25">
      <c r="A333" s="5"/>
      <c r="B333" s="5"/>
      <c r="C333" s="53"/>
      <c r="D333" s="71" t="s">
        <v>303</v>
      </c>
      <c r="E333" s="75"/>
      <c r="F333" s="46"/>
    </row>
    <row r="334" spans="1:9" ht="33.75" customHeight="1" x14ac:dyDescent="0.25">
      <c r="A334" s="3">
        <v>2</v>
      </c>
      <c r="B334" s="3">
        <v>6</v>
      </c>
      <c r="C334" s="34" t="s">
        <v>89</v>
      </c>
      <c r="D334" s="2" t="s">
        <v>53</v>
      </c>
      <c r="E334" s="35">
        <f>SUM(E335:E339)</f>
        <v>45400000</v>
      </c>
      <c r="F334" s="2" t="s">
        <v>304</v>
      </c>
    </row>
    <row r="335" spans="1:9" hidden="1" x14ac:dyDescent="0.25">
      <c r="A335" s="3"/>
      <c r="B335" s="3"/>
      <c r="C335" s="34"/>
      <c r="D335" s="42" t="s">
        <v>161</v>
      </c>
      <c r="E335" s="50">
        <v>0</v>
      </c>
      <c r="F335" s="2"/>
    </row>
    <row r="336" spans="1:9" x14ac:dyDescent="0.25">
      <c r="A336" s="3"/>
      <c r="B336" s="3"/>
      <c r="C336" s="34"/>
      <c r="D336" s="48" t="s">
        <v>162</v>
      </c>
      <c r="E336" s="49">
        <v>24000000</v>
      </c>
      <c r="F336" s="43" t="s">
        <v>3</v>
      </c>
      <c r="G336" s="173">
        <f>E336/12</f>
        <v>2000000</v>
      </c>
    </row>
    <row r="337" spans="1:9" x14ac:dyDescent="0.25">
      <c r="A337" s="3"/>
      <c r="B337" s="3"/>
      <c r="C337" s="34"/>
      <c r="D337" s="48" t="s">
        <v>586</v>
      </c>
      <c r="E337" s="49">
        <f>1700000*12</f>
        <v>20400000</v>
      </c>
      <c r="F337" s="43" t="s">
        <v>3</v>
      </c>
      <c r="G337" s="173">
        <f>E337/12</f>
        <v>1700000</v>
      </c>
    </row>
    <row r="338" spans="1:9" x14ac:dyDescent="0.25">
      <c r="A338" s="3"/>
      <c r="B338" s="3"/>
      <c r="C338" s="34"/>
      <c r="D338" s="43" t="s">
        <v>305</v>
      </c>
      <c r="E338" s="37">
        <v>1000000</v>
      </c>
      <c r="F338" s="43" t="s">
        <v>6</v>
      </c>
      <c r="G338" t="s">
        <v>0</v>
      </c>
    </row>
    <row r="339" spans="1:9" hidden="1" x14ac:dyDescent="0.25">
      <c r="A339" s="3"/>
      <c r="B339" s="3"/>
      <c r="C339" s="34"/>
      <c r="D339" s="103" t="s">
        <v>306</v>
      </c>
      <c r="E339" s="104">
        <v>0</v>
      </c>
      <c r="F339" s="119"/>
    </row>
    <row r="340" spans="1:9" ht="30" hidden="1" x14ac:dyDescent="0.25">
      <c r="A340" s="93">
        <v>2</v>
      </c>
      <c r="B340" s="93">
        <v>6</v>
      </c>
      <c r="C340" s="94" t="s">
        <v>98</v>
      </c>
      <c r="D340" s="95" t="s">
        <v>307</v>
      </c>
      <c r="E340" s="96">
        <f>SUM(E341:E342)</f>
        <v>0</v>
      </c>
      <c r="F340" s="95" t="s">
        <v>3</v>
      </c>
    </row>
    <row r="341" spans="1:9" hidden="1" x14ac:dyDescent="0.25">
      <c r="A341" s="3"/>
      <c r="B341" s="3"/>
      <c r="C341" s="34"/>
      <c r="D341" s="103" t="s">
        <v>308</v>
      </c>
      <c r="E341" s="104">
        <v>0</v>
      </c>
      <c r="F341" s="2"/>
    </row>
    <row r="342" spans="1:9" hidden="1" x14ac:dyDescent="0.25">
      <c r="A342" s="3"/>
      <c r="B342" s="3"/>
      <c r="C342" s="34"/>
      <c r="D342" s="103" t="s">
        <v>309</v>
      </c>
      <c r="E342" s="104"/>
      <c r="F342" s="119"/>
    </row>
    <row r="343" spans="1:9" x14ac:dyDescent="0.25">
      <c r="A343" s="10">
        <v>2</v>
      </c>
      <c r="B343" s="10">
        <v>7</v>
      </c>
      <c r="C343" s="10"/>
      <c r="D343" s="114" t="s">
        <v>310</v>
      </c>
      <c r="E343" s="115">
        <f>E344+E345</f>
        <v>9000000</v>
      </c>
      <c r="F343" s="10"/>
    </row>
    <row r="344" spans="1:9" s="70" customFormat="1" ht="30" hidden="1" x14ac:dyDescent="0.25">
      <c r="A344" s="3">
        <v>2</v>
      </c>
      <c r="B344" s="3">
        <v>7</v>
      </c>
      <c r="C344" s="34" t="s">
        <v>85</v>
      </c>
      <c r="D344" s="260" t="s">
        <v>575</v>
      </c>
      <c r="E344" s="35"/>
      <c r="F344" s="3"/>
      <c r="H344" s="340"/>
      <c r="I344" s="340"/>
    </row>
    <row r="345" spans="1:9" s="70" customFormat="1" ht="30" x14ac:dyDescent="0.25">
      <c r="A345" s="3">
        <v>2</v>
      </c>
      <c r="B345" s="3">
        <v>7</v>
      </c>
      <c r="C345" s="34" t="s">
        <v>89</v>
      </c>
      <c r="D345" s="260" t="s">
        <v>576</v>
      </c>
      <c r="E345" s="35">
        <f>SUM(E346:E347)</f>
        <v>9000000</v>
      </c>
      <c r="F345" s="3" t="s">
        <v>6</v>
      </c>
      <c r="H345" s="340"/>
      <c r="I345" s="340"/>
    </row>
    <row r="346" spans="1:9" s="262" customFormat="1" x14ac:dyDescent="0.25">
      <c r="A346" s="36"/>
      <c r="B346" s="36"/>
      <c r="C346" s="38"/>
      <c r="D346" s="261" t="s">
        <v>581</v>
      </c>
      <c r="E346" s="37">
        <v>5000000</v>
      </c>
      <c r="F346" s="227" t="s">
        <v>6</v>
      </c>
      <c r="G346" s="262" t="s">
        <v>3</v>
      </c>
      <c r="H346" s="341"/>
      <c r="I346" s="341"/>
    </row>
    <row r="347" spans="1:9" s="237" customFormat="1" x14ac:dyDescent="0.25">
      <c r="A347" s="42"/>
      <c r="B347" s="42"/>
      <c r="C347" s="42"/>
      <c r="D347" s="71" t="s">
        <v>588</v>
      </c>
      <c r="E347" s="50">
        <v>4000000</v>
      </c>
      <c r="F347" s="52" t="s">
        <v>6</v>
      </c>
      <c r="G347" s="237" t="s">
        <v>3</v>
      </c>
      <c r="H347" s="342"/>
      <c r="I347" s="342"/>
    </row>
    <row r="348" spans="1:9" x14ac:dyDescent="0.25">
      <c r="A348" s="10">
        <v>2</v>
      </c>
      <c r="B348" s="10">
        <v>8</v>
      </c>
      <c r="C348" s="8"/>
      <c r="D348" s="114" t="s">
        <v>311</v>
      </c>
      <c r="E348" s="57">
        <f>E352</f>
        <v>9000000</v>
      </c>
      <c r="F348" s="8"/>
    </row>
    <row r="349" spans="1:9" hidden="1" x14ac:dyDescent="0.25">
      <c r="A349" s="3">
        <v>2</v>
      </c>
      <c r="B349" s="3">
        <v>8</v>
      </c>
      <c r="C349" s="34" t="s">
        <v>85</v>
      </c>
      <c r="D349" s="2" t="s">
        <v>312</v>
      </c>
      <c r="E349" s="35"/>
      <c r="F349" s="3"/>
    </row>
    <row r="350" spans="1:9" s="188" customFormat="1" ht="30" hidden="1" x14ac:dyDescent="0.25">
      <c r="A350" s="3">
        <v>2</v>
      </c>
      <c r="B350" s="3">
        <v>8</v>
      </c>
      <c r="C350" s="34" t="s">
        <v>89</v>
      </c>
      <c r="D350" s="2" t="s">
        <v>313</v>
      </c>
      <c r="E350" s="35"/>
      <c r="F350" s="3"/>
      <c r="H350" s="224"/>
      <c r="I350" s="224"/>
    </row>
    <row r="351" spans="1:9" hidden="1" x14ac:dyDescent="0.25">
      <c r="A351" s="5"/>
      <c r="B351" s="5"/>
      <c r="C351" s="53"/>
      <c r="D351" s="12"/>
      <c r="E351" s="54"/>
      <c r="F351" s="5"/>
    </row>
    <row r="352" spans="1:9" s="185" customFormat="1" x14ac:dyDescent="0.25">
      <c r="A352" s="5">
        <v>2</v>
      </c>
      <c r="B352" s="5">
        <v>8</v>
      </c>
      <c r="C352" s="53" t="s">
        <v>98</v>
      </c>
      <c r="D352" s="17" t="s">
        <v>314</v>
      </c>
      <c r="E352" s="54">
        <f>SUM(E353:E355)</f>
        <v>9000000</v>
      </c>
      <c r="F352" s="5" t="s">
        <v>3</v>
      </c>
      <c r="H352" s="255"/>
      <c r="I352" s="255"/>
    </row>
    <row r="353" spans="1:9" x14ac:dyDescent="0.25">
      <c r="A353" s="5"/>
      <c r="B353" s="5"/>
      <c r="C353" s="53"/>
      <c r="D353" s="120" t="s">
        <v>584</v>
      </c>
      <c r="E353" s="49">
        <v>9000000</v>
      </c>
      <c r="F353" s="92" t="s">
        <v>3</v>
      </c>
    </row>
    <row r="354" spans="1:9" hidden="1" x14ac:dyDescent="0.25">
      <c r="A354" s="5"/>
      <c r="B354" s="5"/>
      <c r="C354" s="53"/>
      <c r="D354" s="120"/>
      <c r="E354" s="49"/>
      <c r="F354" s="92" t="s">
        <v>3</v>
      </c>
    </row>
    <row r="355" spans="1:9" hidden="1" x14ac:dyDescent="0.25">
      <c r="A355" s="5"/>
      <c r="B355" s="5"/>
      <c r="C355" s="53"/>
      <c r="D355" s="120"/>
      <c r="E355" s="49">
        <v>0</v>
      </c>
      <c r="F355" s="92" t="s">
        <v>316</v>
      </c>
    </row>
    <row r="356" spans="1:9" x14ac:dyDescent="0.25">
      <c r="A356" s="11">
        <v>3</v>
      </c>
      <c r="B356" s="11"/>
      <c r="C356" s="11"/>
      <c r="D356" s="14" t="s">
        <v>54</v>
      </c>
      <c r="E356" s="88">
        <f>E357+E376+E393+E405</f>
        <v>97000000</v>
      </c>
      <c r="F356" s="11"/>
    </row>
    <row r="357" spans="1:9" ht="30" x14ac:dyDescent="0.25">
      <c r="A357" s="119">
        <v>3</v>
      </c>
      <c r="B357" s="121">
        <v>1</v>
      </c>
      <c r="C357" s="121"/>
      <c r="D357" s="15" t="s">
        <v>55</v>
      </c>
      <c r="E357" s="122">
        <f>E358+E367+E372</f>
        <v>57000000</v>
      </c>
      <c r="F357" s="121"/>
    </row>
    <row r="358" spans="1:9" ht="15.75" customHeight="1" x14ac:dyDescent="0.25">
      <c r="A358" s="5">
        <v>3</v>
      </c>
      <c r="B358" s="5">
        <v>1</v>
      </c>
      <c r="C358" s="53" t="s">
        <v>85</v>
      </c>
      <c r="D358" s="12" t="s">
        <v>60</v>
      </c>
      <c r="E358" s="54">
        <f>E359+E362</f>
        <v>57000000</v>
      </c>
      <c r="F358" s="5" t="s">
        <v>1</v>
      </c>
    </row>
    <row r="359" spans="1:9" ht="18" hidden="1" customHeight="1" x14ac:dyDescent="0.25">
      <c r="A359" s="5"/>
      <c r="B359" s="5"/>
      <c r="C359" s="53"/>
      <c r="D359" s="72" t="s">
        <v>317</v>
      </c>
      <c r="E359" s="64">
        <f>SUM(E360:E361)</f>
        <v>0</v>
      </c>
      <c r="F359" s="63" t="s">
        <v>3</v>
      </c>
    </row>
    <row r="360" spans="1:9" hidden="1" x14ac:dyDescent="0.25">
      <c r="A360" s="5"/>
      <c r="B360" s="5"/>
      <c r="C360" s="53"/>
      <c r="D360" s="71" t="s">
        <v>318</v>
      </c>
      <c r="E360" s="51">
        <v>0</v>
      </c>
      <c r="F360" s="42" t="s">
        <v>3</v>
      </c>
    </row>
    <row r="361" spans="1:9" hidden="1" x14ac:dyDescent="0.25">
      <c r="A361" s="5"/>
      <c r="B361" s="5"/>
      <c r="C361" s="53"/>
      <c r="D361" s="71" t="s">
        <v>319</v>
      </c>
      <c r="E361" s="51">
        <v>0</v>
      </c>
      <c r="F361" s="42" t="s">
        <v>3</v>
      </c>
    </row>
    <row r="362" spans="1:9" ht="15.75" customHeight="1" x14ac:dyDescent="0.25">
      <c r="A362" s="5"/>
      <c r="B362" s="5"/>
      <c r="C362" s="53"/>
      <c r="D362" s="72" t="s">
        <v>557</v>
      </c>
      <c r="E362" s="64">
        <f>SUM(E363:E366)</f>
        <v>57000000</v>
      </c>
      <c r="F362" s="63" t="s">
        <v>1</v>
      </c>
    </row>
    <row r="363" spans="1:9" x14ac:dyDescent="0.25">
      <c r="A363" s="3"/>
      <c r="B363" s="3"/>
      <c r="C363" s="34"/>
      <c r="D363" s="43" t="s">
        <v>558</v>
      </c>
      <c r="E363" s="37">
        <v>9000000</v>
      </c>
      <c r="F363" s="43" t="s">
        <v>1</v>
      </c>
    </row>
    <row r="364" spans="1:9" ht="17.25" customHeight="1" x14ac:dyDescent="0.25">
      <c r="A364" s="5"/>
      <c r="B364" s="5"/>
      <c r="C364" s="53"/>
      <c r="D364" s="71" t="s">
        <v>559</v>
      </c>
      <c r="E364" s="50">
        <v>3000000</v>
      </c>
      <c r="F364" s="48" t="s">
        <v>1</v>
      </c>
    </row>
    <row r="365" spans="1:9" s="204" customFormat="1" x14ac:dyDescent="0.25">
      <c r="A365" s="63"/>
      <c r="B365" s="63"/>
      <c r="C365" s="259"/>
      <c r="D365" s="71" t="s">
        <v>560</v>
      </c>
      <c r="E365" s="323">
        <v>35000000</v>
      </c>
      <c r="F365" s="48" t="s">
        <v>1</v>
      </c>
      <c r="H365" s="337">
        <f>1500000*30</f>
        <v>45000000</v>
      </c>
      <c r="I365" s="337">
        <f>H377</f>
        <v>44160000</v>
      </c>
    </row>
    <row r="366" spans="1:9" s="204" customFormat="1" x14ac:dyDescent="0.25">
      <c r="A366" s="63"/>
      <c r="B366" s="63"/>
      <c r="C366" s="259"/>
      <c r="D366" s="71" t="s">
        <v>560</v>
      </c>
      <c r="E366" s="323">
        <v>10000000</v>
      </c>
      <c r="F366" s="327" t="s">
        <v>2</v>
      </c>
      <c r="H366" s="337">
        <f>H365*12.5%</f>
        <v>5625000</v>
      </c>
      <c r="I366" s="337">
        <f>I365*1.5%</f>
        <v>662400</v>
      </c>
    </row>
    <row r="367" spans="1:9" ht="30" hidden="1" x14ac:dyDescent="0.25">
      <c r="A367" s="5">
        <v>3</v>
      </c>
      <c r="B367" s="5">
        <v>1</v>
      </c>
      <c r="C367" s="53" t="s">
        <v>89</v>
      </c>
      <c r="D367" s="12" t="s">
        <v>323</v>
      </c>
      <c r="E367" s="75"/>
      <c r="F367" s="46"/>
    </row>
    <row r="368" spans="1:9" ht="30" hidden="1" x14ac:dyDescent="0.25">
      <c r="A368" s="5">
        <v>3</v>
      </c>
      <c r="B368" s="5">
        <v>1</v>
      </c>
      <c r="C368" s="53" t="s">
        <v>98</v>
      </c>
      <c r="D368" s="12" t="s">
        <v>324</v>
      </c>
      <c r="E368" s="75"/>
      <c r="F368" s="46"/>
    </row>
    <row r="369" spans="1:9" hidden="1" x14ac:dyDescent="0.25">
      <c r="A369" s="3">
        <v>3</v>
      </c>
      <c r="B369" s="3">
        <v>1</v>
      </c>
      <c r="C369" s="34" t="s">
        <v>109</v>
      </c>
      <c r="D369" s="2" t="s">
        <v>325</v>
      </c>
      <c r="E369" s="109"/>
      <c r="F369" s="97"/>
    </row>
    <row r="370" spans="1:9" hidden="1" x14ac:dyDescent="0.25">
      <c r="A370" s="5">
        <v>3</v>
      </c>
      <c r="B370" s="5">
        <v>1</v>
      </c>
      <c r="C370" s="53" t="s">
        <v>122</v>
      </c>
      <c r="D370" s="12" t="s">
        <v>326</v>
      </c>
      <c r="E370" s="75"/>
      <c r="F370" s="46"/>
    </row>
    <row r="371" spans="1:9" hidden="1" x14ac:dyDescent="0.25">
      <c r="A371" s="5">
        <v>3</v>
      </c>
      <c r="B371" s="5">
        <v>1</v>
      </c>
      <c r="C371" s="53" t="s">
        <v>125</v>
      </c>
      <c r="D371" s="12" t="s">
        <v>327</v>
      </c>
      <c r="E371" s="75"/>
      <c r="F371" s="46"/>
    </row>
    <row r="372" spans="1:9" ht="30" hidden="1" x14ac:dyDescent="0.25">
      <c r="A372" s="5">
        <v>3</v>
      </c>
      <c r="B372" s="5">
        <v>1</v>
      </c>
      <c r="C372" s="53" t="s">
        <v>159</v>
      </c>
      <c r="D372" s="12" t="s">
        <v>328</v>
      </c>
      <c r="E372" s="75">
        <f>SUM(E373:E375)</f>
        <v>0</v>
      </c>
      <c r="F372" s="46"/>
    </row>
    <row r="373" spans="1:9" hidden="1" x14ac:dyDescent="0.25">
      <c r="A373" s="5"/>
      <c r="B373" s="5"/>
      <c r="C373" s="53"/>
      <c r="D373" s="12"/>
      <c r="E373" s="75"/>
      <c r="F373" s="46"/>
    </row>
    <row r="374" spans="1:9" hidden="1" x14ac:dyDescent="0.25">
      <c r="A374" s="5"/>
      <c r="B374" s="5"/>
      <c r="C374" s="53"/>
      <c r="D374" s="12"/>
      <c r="E374" s="75"/>
      <c r="F374" s="46"/>
    </row>
    <row r="375" spans="1:9" hidden="1" x14ac:dyDescent="0.25">
      <c r="A375" s="5"/>
      <c r="B375" s="5"/>
      <c r="C375" s="53"/>
      <c r="D375" s="12"/>
      <c r="E375" s="75"/>
      <c r="F375" s="46"/>
    </row>
    <row r="376" spans="1:9" x14ac:dyDescent="0.25">
      <c r="A376" s="121">
        <v>3</v>
      </c>
      <c r="B376" s="121">
        <v>2</v>
      </c>
      <c r="C376" s="121"/>
      <c r="D376" s="15" t="s">
        <v>56</v>
      </c>
      <c r="E376" s="122">
        <f>E377+E379+E382</f>
        <v>21000000</v>
      </c>
      <c r="F376" s="15"/>
      <c r="H376" s="164">
        <f>H365-H366</f>
        <v>39375000</v>
      </c>
      <c r="I376" s="164">
        <f>I365-I366</f>
        <v>43497600</v>
      </c>
    </row>
    <row r="377" spans="1:9" x14ac:dyDescent="0.25">
      <c r="A377" s="3">
        <v>3</v>
      </c>
      <c r="B377" s="3">
        <v>2</v>
      </c>
      <c r="C377" s="34" t="s">
        <v>85</v>
      </c>
      <c r="D377" s="2" t="s">
        <v>57</v>
      </c>
      <c r="E377" s="109">
        <f>SUM(E378:E378)</f>
        <v>10000000</v>
      </c>
      <c r="F377" s="97" t="s">
        <v>1</v>
      </c>
      <c r="H377" s="164">
        <f>1380000*32</f>
        <v>44160000</v>
      </c>
      <c r="I377" s="164">
        <f>1200000*32</f>
        <v>38400000</v>
      </c>
    </row>
    <row r="378" spans="1:9" ht="13.5" customHeight="1" x14ac:dyDescent="0.25">
      <c r="A378" s="3"/>
      <c r="B378" s="3"/>
      <c r="C378" s="34"/>
      <c r="D378" s="43" t="s">
        <v>329</v>
      </c>
      <c r="E378" s="37">
        <v>10000000</v>
      </c>
      <c r="F378" s="36" t="s">
        <v>1</v>
      </c>
      <c r="I378" s="164">
        <f>I376-I377</f>
        <v>5097600</v>
      </c>
    </row>
    <row r="379" spans="1:9" ht="29.25" customHeight="1" x14ac:dyDescent="0.25">
      <c r="A379" s="3">
        <v>3</v>
      </c>
      <c r="B379" s="3">
        <v>2</v>
      </c>
      <c r="C379" s="34" t="s">
        <v>89</v>
      </c>
      <c r="D379" s="2" t="s">
        <v>58</v>
      </c>
      <c r="E379" s="35">
        <f>SUM(E380:E381)</f>
        <v>7000000</v>
      </c>
      <c r="F379" s="3" t="s">
        <v>330</v>
      </c>
    </row>
    <row r="380" spans="1:9" x14ac:dyDescent="0.25">
      <c r="A380" s="3"/>
      <c r="B380" s="3"/>
      <c r="C380" s="34"/>
      <c r="D380" s="103" t="s">
        <v>331</v>
      </c>
      <c r="E380" s="104">
        <v>2000000</v>
      </c>
      <c r="F380" s="105" t="s">
        <v>1</v>
      </c>
      <c r="I380" s="164">
        <f>I365*1.5%</f>
        <v>662400</v>
      </c>
    </row>
    <row r="381" spans="1:9" ht="19.5" customHeight="1" x14ac:dyDescent="0.25">
      <c r="A381" s="3"/>
      <c r="B381" s="3"/>
      <c r="C381" s="34"/>
      <c r="D381" s="103" t="s">
        <v>332</v>
      </c>
      <c r="E381" s="104">
        <v>5000000</v>
      </c>
      <c r="F381" s="105" t="s">
        <v>2</v>
      </c>
    </row>
    <row r="382" spans="1:9" ht="29.25" customHeight="1" x14ac:dyDescent="0.25">
      <c r="A382" s="3">
        <v>3</v>
      </c>
      <c r="B382" s="3">
        <v>2</v>
      </c>
      <c r="C382" s="34" t="s">
        <v>98</v>
      </c>
      <c r="D382" s="2" t="s">
        <v>561</v>
      </c>
      <c r="E382" s="35">
        <f>E383</f>
        <v>4000000</v>
      </c>
      <c r="F382" s="3" t="s">
        <v>2</v>
      </c>
    </row>
    <row r="383" spans="1:9" ht="18.75" customHeight="1" x14ac:dyDescent="0.25">
      <c r="A383" s="3"/>
      <c r="B383" s="3"/>
      <c r="C383" s="34"/>
      <c r="D383" s="43" t="s">
        <v>333</v>
      </c>
      <c r="E383" s="109">
        <v>4000000</v>
      </c>
      <c r="F383" s="36" t="s">
        <v>2</v>
      </c>
    </row>
    <row r="384" spans="1:9" hidden="1" x14ac:dyDescent="0.25">
      <c r="A384" s="3"/>
      <c r="B384" s="3"/>
      <c r="C384" s="34"/>
      <c r="D384" s="2"/>
      <c r="E384" s="109"/>
      <c r="F384" s="97"/>
    </row>
    <row r="385" spans="1:6" ht="30" hidden="1" x14ac:dyDescent="0.25">
      <c r="A385" s="5">
        <v>3</v>
      </c>
      <c r="B385" s="5">
        <v>2</v>
      </c>
      <c r="C385" s="53" t="s">
        <v>122</v>
      </c>
      <c r="D385" s="12" t="s">
        <v>334</v>
      </c>
      <c r="E385" s="75"/>
      <c r="F385" s="46"/>
    </row>
    <row r="386" spans="1:6" ht="45" hidden="1" x14ac:dyDescent="0.25">
      <c r="A386" s="5">
        <v>3</v>
      </c>
      <c r="B386" s="5">
        <v>2</v>
      </c>
      <c r="C386" s="53" t="s">
        <v>98</v>
      </c>
      <c r="D386" s="12" t="s">
        <v>335</v>
      </c>
      <c r="E386" s="75"/>
      <c r="F386" s="46"/>
    </row>
    <row r="387" spans="1:6" hidden="1" x14ac:dyDescent="0.25">
      <c r="A387" s="5"/>
      <c r="B387" s="5"/>
      <c r="C387" s="53"/>
      <c r="D387" s="4" t="s">
        <v>336</v>
      </c>
      <c r="E387" s="124">
        <v>0</v>
      </c>
      <c r="F387" s="46" t="s">
        <v>4</v>
      </c>
    </row>
    <row r="388" spans="1:6" hidden="1" x14ac:dyDescent="0.25">
      <c r="A388" s="5"/>
      <c r="B388" s="5"/>
      <c r="C388" s="53"/>
      <c r="D388" s="4" t="s">
        <v>337</v>
      </c>
      <c r="E388" s="124">
        <v>0</v>
      </c>
      <c r="F388" s="46" t="s">
        <v>338</v>
      </c>
    </row>
    <row r="389" spans="1:6" hidden="1" x14ac:dyDescent="0.25">
      <c r="A389" s="5"/>
      <c r="B389" s="5"/>
      <c r="C389" s="53"/>
      <c r="D389" s="4" t="s">
        <v>339</v>
      </c>
      <c r="E389" s="124">
        <v>0</v>
      </c>
      <c r="F389" s="46" t="s">
        <v>4</v>
      </c>
    </row>
    <row r="390" spans="1:6" ht="30" hidden="1" x14ac:dyDescent="0.25">
      <c r="A390" s="3">
        <v>3</v>
      </c>
      <c r="B390" s="3">
        <v>2</v>
      </c>
      <c r="C390" s="34" t="s">
        <v>122</v>
      </c>
      <c r="D390" s="2" t="s">
        <v>340</v>
      </c>
      <c r="E390" s="109">
        <v>0</v>
      </c>
      <c r="F390" s="97" t="s">
        <v>4</v>
      </c>
    </row>
    <row r="391" spans="1:6" hidden="1" x14ac:dyDescent="0.25">
      <c r="A391" s="5"/>
      <c r="B391" s="5"/>
      <c r="C391" s="53"/>
      <c r="D391" s="17" t="s">
        <v>341</v>
      </c>
      <c r="E391" s="124">
        <v>0</v>
      </c>
      <c r="F391" s="46" t="s">
        <v>4</v>
      </c>
    </row>
    <row r="392" spans="1:6" hidden="1" x14ac:dyDescent="0.25">
      <c r="A392" s="5"/>
      <c r="B392" s="5"/>
      <c r="C392" s="53"/>
      <c r="D392" s="2" t="s">
        <v>342</v>
      </c>
      <c r="E392" s="109">
        <v>0</v>
      </c>
      <c r="F392" s="97" t="s">
        <v>4</v>
      </c>
    </row>
    <row r="393" spans="1:6" x14ac:dyDescent="0.25">
      <c r="A393" s="125">
        <v>3</v>
      </c>
      <c r="B393" s="125">
        <v>3</v>
      </c>
      <c r="C393" s="125"/>
      <c r="D393" s="16" t="s">
        <v>61</v>
      </c>
      <c r="E393" s="126">
        <f>E394+E398+E399+E400+E401+E403</f>
        <v>9000000</v>
      </c>
      <c r="F393" s="125"/>
    </row>
    <row r="394" spans="1:6" ht="30" customHeight="1" x14ac:dyDescent="0.25">
      <c r="A394" s="3">
        <v>3</v>
      </c>
      <c r="B394" s="3">
        <v>3</v>
      </c>
      <c r="C394" s="34" t="s">
        <v>85</v>
      </c>
      <c r="D394" s="2" t="s">
        <v>62</v>
      </c>
      <c r="E394" s="35">
        <f>SUM(E395:E397)</f>
        <v>9000000</v>
      </c>
      <c r="F394" s="3" t="s">
        <v>2</v>
      </c>
    </row>
    <row r="395" spans="1:6" ht="18.75" customHeight="1" x14ac:dyDescent="0.25">
      <c r="A395" s="3"/>
      <c r="B395" s="3"/>
      <c r="C395" s="34"/>
      <c r="D395" s="43" t="s">
        <v>343</v>
      </c>
      <c r="E395" s="37">
        <v>2000000</v>
      </c>
      <c r="F395" s="36"/>
    </row>
    <row r="396" spans="1:6" ht="14.25" customHeight="1" x14ac:dyDescent="0.25">
      <c r="A396" s="3"/>
      <c r="B396" s="3"/>
      <c r="C396" s="34"/>
      <c r="D396" s="43" t="s">
        <v>344</v>
      </c>
      <c r="E396" s="37">
        <v>5000000</v>
      </c>
      <c r="F396" s="36"/>
    </row>
    <row r="397" spans="1:6" ht="18" customHeight="1" x14ac:dyDescent="0.25">
      <c r="A397" s="3"/>
      <c r="B397" s="3"/>
      <c r="C397" s="34"/>
      <c r="D397" s="43" t="s">
        <v>414</v>
      </c>
      <c r="E397" s="37">
        <v>2000000</v>
      </c>
      <c r="F397" s="36"/>
    </row>
    <row r="398" spans="1:6" hidden="1" x14ac:dyDescent="0.25">
      <c r="A398" s="5">
        <v>3</v>
      </c>
      <c r="B398" s="5">
        <v>3</v>
      </c>
      <c r="C398" s="53" t="s">
        <v>89</v>
      </c>
      <c r="D398" s="12" t="s">
        <v>345</v>
      </c>
      <c r="E398" s="75"/>
      <c r="F398" s="46"/>
    </row>
    <row r="399" spans="1:6" ht="30" hidden="1" x14ac:dyDescent="0.25">
      <c r="A399" s="5">
        <v>3</v>
      </c>
      <c r="B399" s="5">
        <v>3</v>
      </c>
      <c r="C399" s="53" t="s">
        <v>98</v>
      </c>
      <c r="D399" s="12" t="s">
        <v>346</v>
      </c>
      <c r="E399" s="75"/>
      <c r="F399" s="46"/>
    </row>
    <row r="400" spans="1:6" ht="30" hidden="1" x14ac:dyDescent="0.25">
      <c r="A400" s="5">
        <v>3</v>
      </c>
      <c r="B400" s="5">
        <v>3</v>
      </c>
      <c r="C400" s="53" t="s">
        <v>109</v>
      </c>
      <c r="D400" s="12" t="s">
        <v>347</v>
      </c>
      <c r="E400" s="75"/>
      <c r="F400" s="46"/>
    </row>
    <row r="401" spans="1:6" ht="30" hidden="1" x14ac:dyDescent="0.25">
      <c r="A401" s="3">
        <v>3</v>
      </c>
      <c r="B401" s="3">
        <v>3</v>
      </c>
      <c r="C401" s="34" t="s">
        <v>122</v>
      </c>
      <c r="D401" s="2" t="s">
        <v>348</v>
      </c>
      <c r="E401" s="35">
        <f>E402</f>
        <v>0</v>
      </c>
      <c r="F401" s="3" t="s">
        <v>1</v>
      </c>
    </row>
    <row r="402" spans="1:6" hidden="1" x14ac:dyDescent="0.25">
      <c r="A402" s="5"/>
      <c r="B402" s="5"/>
      <c r="C402" s="53"/>
      <c r="D402" s="222" t="s">
        <v>349</v>
      </c>
      <c r="E402" s="50">
        <v>0</v>
      </c>
      <c r="F402" s="42" t="s">
        <v>1</v>
      </c>
    </row>
    <row r="403" spans="1:6" hidden="1" x14ac:dyDescent="0.25">
      <c r="A403" s="3">
        <v>3</v>
      </c>
      <c r="B403" s="3">
        <v>3</v>
      </c>
      <c r="C403" s="34" t="s">
        <v>125</v>
      </c>
      <c r="D403" s="2" t="s">
        <v>350</v>
      </c>
      <c r="E403" s="35">
        <f>SUM(E404:E404)</f>
        <v>0</v>
      </c>
      <c r="F403" s="3" t="s">
        <v>1</v>
      </c>
    </row>
    <row r="404" spans="1:6" hidden="1" x14ac:dyDescent="0.25">
      <c r="A404" s="3"/>
      <c r="B404" s="3"/>
      <c r="C404" s="34"/>
      <c r="D404" s="207" t="s">
        <v>351</v>
      </c>
      <c r="E404" s="37">
        <v>0</v>
      </c>
      <c r="F404" s="36" t="s">
        <v>1</v>
      </c>
    </row>
    <row r="405" spans="1:6" x14ac:dyDescent="0.25">
      <c r="A405" s="125">
        <v>3</v>
      </c>
      <c r="B405" s="125">
        <v>4</v>
      </c>
      <c r="C405" s="125"/>
      <c r="D405" s="16" t="s">
        <v>63</v>
      </c>
      <c r="E405" s="126">
        <f>E406+E407+E410</f>
        <v>10000000</v>
      </c>
      <c r="F405" s="125"/>
    </row>
    <row r="406" spans="1:6" ht="16.5" hidden="1" customHeight="1" x14ac:dyDescent="0.25">
      <c r="A406" s="5">
        <v>3</v>
      </c>
      <c r="B406" s="5">
        <v>4</v>
      </c>
      <c r="C406" s="53" t="s">
        <v>85</v>
      </c>
      <c r="D406" s="12" t="s">
        <v>352</v>
      </c>
      <c r="E406" s="54"/>
      <c r="F406" s="46"/>
    </row>
    <row r="407" spans="1:6" ht="20.25" customHeight="1" x14ac:dyDescent="0.25">
      <c r="A407" s="5">
        <v>3</v>
      </c>
      <c r="B407" s="5">
        <v>4</v>
      </c>
      <c r="C407" s="47" t="s">
        <v>89</v>
      </c>
      <c r="D407" s="12" t="s">
        <v>64</v>
      </c>
      <c r="E407" s="54">
        <f>SUM(E408:E409)</f>
        <v>5000000</v>
      </c>
      <c r="F407" s="5" t="s">
        <v>2</v>
      </c>
    </row>
    <row r="408" spans="1:6" ht="14.25" hidden="1" customHeight="1" x14ac:dyDescent="0.25">
      <c r="A408" s="5"/>
      <c r="B408" s="5"/>
      <c r="C408" s="47"/>
      <c r="D408" s="71" t="s">
        <v>353</v>
      </c>
      <c r="E408" s="50">
        <v>0</v>
      </c>
      <c r="F408" s="42" t="s">
        <v>0</v>
      </c>
    </row>
    <row r="409" spans="1:6" ht="11.25" customHeight="1" x14ac:dyDescent="0.25">
      <c r="A409" s="5"/>
      <c r="B409" s="5"/>
      <c r="C409" s="47"/>
      <c r="D409" s="71" t="s">
        <v>353</v>
      </c>
      <c r="E409" s="50">
        <v>5000000</v>
      </c>
      <c r="F409" s="42" t="s">
        <v>2</v>
      </c>
    </row>
    <row r="410" spans="1:6" x14ac:dyDescent="0.25">
      <c r="A410" s="5">
        <v>3</v>
      </c>
      <c r="B410" s="5">
        <v>4</v>
      </c>
      <c r="C410" s="53" t="s">
        <v>98</v>
      </c>
      <c r="D410" s="127" t="s">
        <v>65</v>
      </c>
      <c r="E410" s="54">
        <f>SUM(E411:E412)</f>
        <v>5000000</v>
      </c>
      <c r="F410" s="5"/>
    </row>
    <row r="411" spans="1:6" x14ac:dyDescent="0.25">
      <c r="A411" s="5"/>
      <c r="B411" s="5"/>
      <c r="C411" s="47"/>
      <c r="D411" s="71" t="s">
        <v>354</v>
      </c>
      <c r="E411" s="50">
        <v>5000000</v>
      </c>
      <c r="F411" s="42" t="s">
        <v>1</v>
      </c>
    </row>
    <row r="412" spans="1:6" hidden="1" x14ac:dyDescent="0.25">
      <c r="A412" s="5"/>
      <c r="B412" s="5"/>
      <c r="C412" s="47"/>
      <c r="D412" s="71"/>
      <c r="E412" s="50">
        <v>0</v>
      </c>
      <c r="F412" s="42" t="s">
        <v>6</v>
      </c>
    </row>
    <row r="413" spans="1:6" x14ac:dyDescent="0.25">
      <c r="A413" s="128">
        <v>4</v>
      </c>
      <c r="B413" s="129"/>
      <c r="C413" s="129"/>
      <c r="D413" s="14" t="s">
        <v>66</v>
      </c>
      <c r="E413" s="130">
        <f>E414+E419+E432+E437+E445+E452+E456</f>
        <v>71147619.25</v>
      </c>
      <c r="F413" s="129"/>
    </row>
    <row r="414" spans="1:6" hidden="1" x14ac:dyDescent="0.25">
      <c r="A414" s="125">
        <v>4</v>
      </c>
      <c r="B414" s="125">
        <v>1</v>
      </c>
      <c r="C414" s="125"/>
      <c r="D414" s="16" t="s">
        <v>355</v>
      </c>
      <c r="E414" s="126">
        <f>E415+E417</f>
        <v>0</v>
      </c>
      <c r="F414" s="125" t="s">
        <v>3</v>
      </c>
    </row>
    <row r="415" spans="1:6" hidden="1" x14ac:dyDescent="0.25">
      <c r="A415" s="5">
        <v>4</v>
      </c>
      <c r="B415" s="5">
        <v>1</v>
      </c>
      <c r="C415" s="53" t="s">
        <v>122</v>
      </c>
      <c r="D415" s="12" t="s">
        <v>356</v>
      </c>
      <c r="E415" s="75">
        <v>0</v>
      </c>
      <c r="F415" s="46"/>
    </row>
    <row r="416" spans="1:6" hidden="1" x14ac:dyDescent="0.25">
      <c r="A416" s="5"/>
      <c r="B416" s="5"/>
      <c r="C416" s="53"/>
      <c r="D416" s="12"/>
      <c r="E416" s="75"/>
      <c r="F416" s="46"/>
    </row>
    <row r="417" spans="1:7" ht="30" hidden="1" x14ac:dyDescent="0.25">
      <c r="A417" s="3">
        <v>4</v>
      </c>
      <c r="B417" s="3">
        <v>1</v>
      </c>
      <c r="C417" s="34" t="s">
        <v>125</v>
      </c>
      <c r="D417" s="2" t="s">
        <v>357</v>
      </c>
      <c r="E417" s="109">
        <f>SUM(E418:E418)</f>
        <v>0</v>
      </c>
      <c r="F417" s="97"/>
    </row>
    <row r="418" spans="1:7" hidden="1" x14ac:dyDescent="0.25">
      <c r="A418" s="5"/>
      <c r="B418" s="5"/>
      <c r="C418" s="53"/>
      <c r="D418" s="12"/>
      <c r="E418" s="75"/>
      <c r="F418" s="46"/>
    </row>
    <row r="419" spans="1:7" x14ac:dyDescent="0.25">
      <c r="A419" s="125">
        <v>4</v>
      </c>
      <c r="B419" s="125">
        <v>2</v>
      </c>
      <c r="C419" s="131"/>
      <c r="D419" s="16" t="s">
        <v>67</v>
      </c>
      <c r="E419" s="126">
        <f>E420+E422+E426+E428</f>
        <v>60147619.25</v>
      </c>
      <c r="F419" s="125" t="s">
        <v>3</v>
      </c>
    </row>
    <row r="420" spans="1:7" ht="30" x14ac:dyDescent="0.25">
      <c r="A420" s="3">
        <v>4</v>
      </c>
      <c r="B420" s="97">
        <v>2</v>
      </c>
      <c r="C420" s="132" t="s">
        <v>85</v>
      </c>
      <c r="D420" s="107" t="s">
        <v>358</v>
      </c>
      <c r="E420" s="35">
        <f>E421</f>
        <v>5147619.25</v>
      </c>
      <c r="F420" s="46"/>
    </row>
    <row r="421" spans="1:7" x14ac:dyDescent="0.25">
      <c r="A421" s="5"/>
      <c r="B421" s="46"/>
      <c r="C421" s="47"/>
      <c r="D421" s="71" t="s">
        <v>359</v>
      </c>
      <c r="E421" s="322">
        <v>5147619.25</v>
      </c>
      <c r="F421" s="36" t="s">
        <v>3</v>
      </c>
      <c r="G421" s="173">
        <f>E421/50000</f>
        <v>102.95238500000001</v>
      </c>
    </row>
    <row r="422" spans="1:7" ht="30" x14ac:dyDescent="0.25">
      <c r="A422" s="3">
        <v>4</v>
      </c>
      <c r="B422" s="3">
        <v>2</v>
      </c>
      <c r="C422" s="34" t="s">
        <v>89</v>
      </c>
      <c r="D422" s="2" t="s">
        <v>68</v>
      </c>
      <c r="E422" s="35">
        <f>SUM(E423:E425)</f>
        <v>55000000</v>
      </c>
      <c r="F422" s="76" t="s">
        <v>3</v>
      </c>
    </row>
    <row r="423" spans="1:7" x14ac:dyDescent="0.25">
      <c r="A423" s="3"/>
      <c r="B423" s="97"/>
      <c r="C423" s="132"/>
      <c r="D423" s="43" t="s">
        <v>600</v>
      </c>
      <c r="E423" s="51">
        <v>55000000</v>
      </c>
      <c r="F423" s="42"/>
    </row>
    <row r="424" spans="1:7" hidden="1" x14ac:dyDescent="0.25">
      <c r="A424" s="133"/>
      <c r="B424" s="134"/>
      <c r="C424" s="135"/>
      <c r="D424" s="136" t="s">
        <v>360</v>
      </c>
      <c r="E424" s="137">
        <v>0</v>
      </c>
      <c r="F424" s="138"/>
    </row>
    <row r="425" spans="1:7" hidden="1" x14ac:dyDescent="0.25">
      <c r="A425" s="5"/>
      <c r="B425" s="46"/>
      <c r="C425" s="47"/>
      <c r="D425" s="71" t="s">
        <v>361</v>
      </c>
      <c r="E425" s="50">
        <v>0</v>
      </c>
      <c r="F425" s="42"/>
    </row>
    <row r="426" spans="1:7" hidden="1" x14ac:dyDescent="0.25">
      <c r="A426" s="3">
        <v>4</v>
      </c>
      <c r="B426" s="97">
        <v>2</v>
      </c>
      <c r="C426" s="132" t="s">
        <v>98</v>
      </c>
      <c r="D426" s="107" t="s">
        <v>362</v>
      </c>
      <c r="E426" s="35">
        <f>E427</f>
        <v>0</v>
      </c>
      <c r="F426" s="3" t="s">
        <v>3</v>
      </c>
    </row>
    <row r="427" spans="1:7" hidden="1" x14ac:dyDescent="0.25">
      <c r="A427" s="5"/>
      <c r="B427" s="46"/>
      <c r="C427" s="47"/>
      <c r="D427" s="71" t="s">
        <v>363</v>
      </c>
      <c r="E427" s="50">
        <v>0</v>
      </c>
      <c r="F427" s="42" t="s">
        <v>3</v>
      </c>
    </row>
    <row r="428" spans="1:7" ht="30" hidden="1" x14ac:dyDescent="0.25">
      <c r="A428" s="3">
        <v>4</v>
      </c>
      <c r="B428" s="97">
        <v>2</v>
      </c>
      <c r="C428" s="132" t="s">
        <v>122</v>
      </c>
      <c r="D428" s="107" t="s">
        <v>364</v>
      </c>
      <c r="E428" s="35">
        <f>SUM(E429:E431)</f>
        <v>0</v>
      </c>
      <c r="F428" s="76" t="s">
        <v>3</v>
      </c>
    </row>
    <row r="429" spans="1:7" hidden="1" x14ac:dyDescent="0.25">
      <c r="A429" s="5"/>
      <c r="B429" s="46"/>
      <c r="C429" s="47"/>
      <c r="D429" s="71" t="s">
        <v>365</v>
      </c>
      <c r="E429" s="50">
        <v>0</v>
      </c>
      <c r="F429" s="42"/>
    </row>
    <row r="430" spans="1:7" hidden="1" x14ac:dyDescent="0.25">
      <c r="A430" s="5"/>
      <c r="B430" s="46"/>
      <c r="C430" s="47"/>
      <c r="D430" s="71"/>
      <c r="E430" s="50"/>
      <c r="F430" s="42"/>
    </row>
    <row r="431" spans="1:7" hidden="1" x14ac:dyDescent="0.25">
      <c r="A431" s="5"/>
      <c r="B431" s="46"/>
      <c r="C431" s="47"/>
      <c r="D431" s="71"/>
      <c r="E431" s="50"/>
      <c r="F431" s="42"/>
    </row>
    <row r="432" spans="1:7" x14ac:dyDescent="0.25">
      <c r="A432" s="125">
        <v>4</v>
      </c>
      <c r="B432" s="125">
        <v>3</v>
      </c>
      <c r="C432" s="125"/>
      <c r="D432" s="16" t="s">
        <v>69</v>
      </c>
      <c r="E432" s="126">
        <f>SUM(E433:E436)</f>
        <v>6000000</v>
      </c>
      <c r="F432" s="125" t="s">
        <v>0</v>
      </c>
    </row>
    <row r="433" spans="1:7" x14ac:dyDescent="0.25">
      <c r="A433" s="5">
        <v>4</v>
      </c>
      <c r="B433" s="5">
        <v>3</v>
      </c>
      <c r="C433" s="47" t="s">
        <v>85</v>
      </c>
      <c r="D433" s="17" t="s">
        <v>70</v>
      </c>
      <c r="E433" s="91">
        <v>2000000</v>
      </c>
      <c r="F433" s="46" t="s">
        <v>0</v>
      </c>
    </row>
    <row r="434" spans="1:7" x14ac:dyDescent="0.25">
      <c r="A434" s="5">
        <v>4</v>
      </c>
      <c r="B434" s="5">
        <v>3</v>
      </c>
      <c r="C434" s="47" t="s">
        <v>89</v>
      </c>
      <c r="D434" s="17" t="s">
        <v>71</v>
      </c>
      <c r="E434" s="91">
        <v>2500000</v>
      </c>
      <c r="F434" s="46" t="s">
        <v>0</v>
      </c>
    </row>
    <row r="435" spans="1:7" hidden="1" x14ac:dyDescent="0.25">
      <c r="A435" s="5"/>
      <c r="B435" s="5"/>
      <c r="C435" s="47"/>
      <c r="D435" s="17" t="s">
        <v>71</v>
      </c>
      <c r="E435" s="270">
        <v>0</v>
      </c>
      <c r="F435" s="46" t="s">
        <v>1</v>
      </c>
    </row>
    <row r="436" spans="1:7" x14ac:dyDescent="0.25">
      <c r="A436" s="5">
        <v>4</v>
      </c>
      <c r="B436" s="5">
        <v>3</v>
      </c>
      <c r="C436" s="47" t="s">
        <v>98</v>
      </c>
      <c r="D436" s="17" t="s">
        <v>72</v>
      </c>
      <c r="E436" s="91">
        <v>1500000</v>
      </c>
      <c r="F436" s="46" t="s">
        <v>1</v>
      </c>
    </row>
    <row r="437" spans="1:7" ht="30" x14ac:dyDescent="0.25">
      <c r="A437" s="121">
        <v>4</v>
      </c>
      <c r="B437" s="121">
        <v>4</v>
      </c>
      <c r="C437" s="139"/>
      <c r="D437" s="140" t="s">
        <v>73</v>
      </c>
      <c r="E437" s="122">
        <f>E438+E441+E443</f>
        <v>5000000</v>
      </c>
      <c r="F437" s="121" t="s">
        <v>1</v>
      </c>
    </row>
    <row r="438" spans="1:7" x14ac:dyDescent="0.25">
      <c r="A438" s="5">
        <v>4</v>
      </c>
      <c r="B438" s="5">
        <v>4</v>
      </c>
      <c r="C438" s="47" t="s">
        <v>85</v>
      </c>
      <c r="D438" s="12" t="s">
        <v>74</v>
      </c>
      <c r="E438" s="54">
        <f>SUM(E439:E440)</f>
        <v>5000000</v>
      </c>
      <c r="F438" s="46" t="s">
        <v>1</v>
      </c>
    </row>
    <row r="439" spans="1:7" ht="14.25" customHeight="1" x14ac:dyDescent="0.25">
      <c r="A439" s="5"/>
      <c r="B439" s="5"/>
      <c r="C439" s="47"/>
      <c r="D439" s="71" t="s">
        <v>366</v>
      </c>
      <c r="E439" s="50">
        <v>5000000</v>
      </c>
      <c r="F439" s="52" t="s">
        <v>1</v>
      </c>
      <c r="G439" t="s">
        <v>3</v>
      </c>
    </row>
    <row r="440" spans="1:7" hidden="1" x14ac:dyDescent="0.25">
      <c r="A440" s="5"/>
      <c r="B440" s="5"/>
      <c r="C440" s="47"/>
      <c r="D440" s="71"/>
      <c r="E440" s="50"/>
      <c r="F440" s="42"/>
    </row>
    <row r="441" spans="1:7" hidden="1" x14ac:dyDescent="0.25">
      <c r="A441" s="5">
        <v>4</v>
      </c>
      <c r="B441" s="5">
        <v>4</v>
      </c>
      <c r="C441" s="47" t="s">
        <v>89</v>
      </c>
      <c r="D441" s="12" t="s">
        <v>367</v>
      </c>
      <c r="E441" s="54">
        <f>E442</f>
        <v>0</v>
      </c>
      <c r="F441" s="46" t="s">
        <v>3</v>
      </c>
    </row>
    <row r="442" spans="1:7" hidden="1" x14ac:dyDescent="0.25">
      <c r="A442" s="5"/>
      <c r="B442" s="5"/>
      <c r="C442" s="47"/>
      <c r="D442" s="71"/>
      <c r="E442" s="50"/>
      <c r="F442" s="42"/>
    </row>
    <row r="443" spans="1:7" hidden="1" x14ac:dyDescent="0.25">
      <c r="A443" s="5">
        <v>4</v>
      </c>
      <c r="B443" s="5">
        <v>4</v>
      </c>
      <c r="C443" s="47" t="s">
        <v>98</v>
      </c>
      <c r="D443" s="12" t="s">
        <v>368</v>
      </c>
      <c r="E443" s="54">
        <f>SUM(E444)</f>
        <v>0</v>
      </c>
      <c r="F443" s="46" t="s">
        <v>3</v>
      </c>
    </row>
    <row r="444" spans="1:7" hidden="1" x14ac:dyDescent="0.25">
      <c r="A444" s="5"/>
      <c r="B444" s="5"/>
      <c r="C444" s="47"/>
      <c r="D444" s="12"/>
      <c r="E444" s="54"/>
      <c r="F444" s="46"/>
    </row>
    <row r="445" spans="1:7" hidden="1" x14ac:dyDescent="0.25">
      <c r="A445" s="125">
        <v>4</v>
      </c>
      <c r="B445" s="125">
        <v>5</v>
      </c>
      <c r="C445" s="125"/>
      <c r="D445" s="16" t="s">
        <v>369</v>
      </c>
      <c r="E445" s="126">
        <f>E446+E448+E450</f>
        <v>0</v>
      </c>
      <c r="F445" s="125" t="s">
        <v>3</v>
      </c>
    </row>
    <row r="446" spans="1:7" hidden="1" x14ac:dyDescent="0.25">
      <c r="A446" s="3">
        <v>4</v>
      </c>
      <c r="B446" s="3">
        <v>5</v>
      </c>
      <c r="C446" s="132" t="s">
        <v>85</v>
      </c>
      <c r="D446" s="2" t="s">
        <v>370</v>
      </c>
      <c r="E446" s="35">
        <f>E447</f>
        <v>0</v>
      </c>
      <c r="F446" s="97"/>
    </row>
    <row r="447" spans="1:7" hidden="1" x14ac:dyDescent="0.25">
      <c r="A447" s="5"/>
      <c r="B447" s="5"/>
      <c r="C447" s="47"/>
      <c r="D447" s="12"/>
      <c r="E447" s="54"/>
      <c r="F447" s="46"/>
    </row>
    <row r="448" spans="1:7" hidden="1" x14ac:dyDescent="0.25">
      <c r="A448" s="3">
        <v>4</v>
      </c>
      <c r="B448" s="3">
        <v>5</v>
      </c>
      <c r="C448" s="132" t="s">
        <v>89</v>
      </c>
      <c r="D448" s="2" t="s">
        <v>371</v>
      </c>
      <c r="E448" s="35">
        <f>E449</f>
        <v>0</v>
      </c>
      <c r="F448" s="97"/>
    </row>
    <row r="449" spans="1:6" hidden="1" x14ac:dyDescent="0.25">
      <c r="A449" s="3"/>
      <c r="B449" s="3"/>
      <c r="C449" s="132"/>
      <c r="D449" s="2"/>
      <c r="E449" s="35"/>
      <c r="F449" s="97"/>
    </row>
    <row r="450" spans="1:6" ht="30" hidden="1" x14ac:dyDescent="0.25">
      <c r="A450" s="3">
        <v>4</v>
      </c>
      <c r="B450" s="3">
        <v>5</v>
      </c>
      <c r="C450" s="132" t="s">
        <v>98</v>
      </c>
      <c r="D450" s="2" t="s">
        <v>372</v>
      </c>
      <c r="E450" s="35">
        <f>E451</f>
        <v>0</v>
      </c>
      <c r="F450" s="97"/>
    </row>
    <row r="451" spans="1:6" hidden="1" x14ac:dyDescent="0.25">
      <c r="A451" s="3"/>
      <c r="B451" s="3"/>
      <c r="C451" s="132"/>
      <c r="D451" s="2"/>
      <c r="E451" s="35"/>
      <c r="F451" s="97"/>
    </row>
    <row r="452" spans="1:6" hidden="1" x14ac:dyDescent="0.25">
      <c r="A452" s="125">
        <v>4</v>
      </c>
      <c r="B452" s="125">
        <v>6</v>
      </c>
      <c r="C452" s="125"/>
      <c r="D452" s="16" t="s">
        <v>373</v>
      </c>
      <c r="E452" s="126">
        <f>E453</f>
        <v>0</v>
      </c>
      <c r="F452" s="125" t="s">
        <v>3</v>
      </c>
    </row>
    <row r="453" spans="1:6" hidden="1" x14ac:dyDescent="0.25">
      <c r="A453" s="3">
        <v>4</v>
      </c>
      <c r="B453" s="3">
        <v>6</v>
      </c>
      <c r="C453" s="132" t="s">
        <v>89</v>
      </c>
      <c r="D453" s="2" t="s">
        <v>374</v>
      </c>
      <c r="E453" s="109">
        <f>SUM(E454:E455)</f>
        <v>0</v>
      </c>
      <c r="F453" s="97"/>
    </row>
    <row r="454" spans="1:6" hidden="1" x14ac:dyDescent="0.25">
      <c r="A454" s="5"/>
      <c r="B454" s="5"/>
      <c r="C454" s="46"/>
      <c r="D454" s="12"/>
      <c r="E454" s="75"/>
      <c r="F454" s="46"/>
    </row>
    <row r="455" spans="1:6" hidden="1" x14ac:dyDescent="0.25">
      <c r="A455" s="5"/>
      <c r="B455" s="5"/>
      <c r="C455" s="47"/>
      <c r="D455" s="71"/>
      <c r="E455" s="50"/>
      <c r="F455" s="42"/>
    </row>
    <row r="456" spans="1:6" hidden="1" x14ac:dyDescent="0.25">
      <c r="A456" s="125">
        <v>4</v>
      </c>
      <c r="B456" s="125">
        <v>7</v>
      </c>
      <c r="C456" s="125"/>
      <c r="D456" s="16" t="s">
        <v>375</v>
      </c>
      <c r="E456" s="126">
        <f>E457+E460</f>
        <v>0</v>
      </c>
      <c r="F456" s="125"/>
    </row>
    <row r="457" spans="1:6" ht="30" hidden="1" x14ac:dyDescent="0.25">
      <c r="A457" s="3">
        <v>4</v>
      </c>
      <c r="B457" s="3">
        <v>7</v>
      </c>
      <c r="C457" s="34" t="s">
        <v>89</v>
      </c>
      <c r="D457" s="2" t="s">
        <v>376</v>
      </c>
      <c r="E457" s="35">
        <f>SUM(E458:E459)</f>
        <v>0</v>
      </c>
      <c r="F457" s="3" t="s">
        <v>3</v>
      </c>
    </row>
    <row r="458" spans="1:6" hidden="1" x14ac:dyDescent="0.25">
      <c r="A458" s="46"/>
      <c r="B458" s="46"/>
      <c r="C458" s="46"/>
      <c r="D458" s="71" t="s">
        <v>565</v>
      </c>
      <c r="E458" s="51">
        <v>0</v>
      </c>
      <c r="F458" s="42" t="s">
        <v>3</v>
      </c>
    </row>
    <row r="459" spans="1:6" hidden="1" x14ac:dyDescent="0.25">
      <c r="A459" s="46"/>
      <c r="B459" s="46"/>
      <c r="C459" s="46"/>
      <c r="D459" s="71"/>
      <c r="E459" s="50"/>
      <c r="F459" s="42"/>
    </row>
    <row r="460" spans="1:6" ht="30" hidden="1" x14ac:dyDescent="0.25">
      <c r="A460" s="3">
        <v>4</v>
      </c>
      <c r="B460" s="3">
        <v>7</v>
      </c>
      <c r="C460" s="34" t="s">
        <v>109</v>
      </c>
      <c r="D460" s="2" t="s">
        <v>378</v>
      </c>
      <c r="E460" s="35">
        <f>SUM(E461:E462)</f>
        <v>0</v>
      </c>
      <c r="F460" s="3" t="s">
        <v>3</v>
      </c>
    </row>
    <row r="461" spans="1:6" hidden="1" x14ac:dyDescent="0.25">
      <c r="A461" s="46"/>
      <c r="B461" s="46"/>
      <c r="C461" s="46"/>
      <c r="D461" s="71" t="s">
        <v>379</v>
      </c>
      <c r="E461" s="50">
        <v>0</v>
      </c>
      <c r="F461" s="42"/>
    </row>
    <row r="462" spans="1:6" hidden="1" x14ac:dyDescent="0.25">
      <c r="A462" s="46"/>
      <c r="B462" s="46"/>
      <c r="C462" s="46"/>
      <c r="D462" s="71"/>
      <c r="E462" s="50"/>
      <c r="F462" s="42"/>
    </row>
    <row r="463" spans="1:6" ht="27" x14ac:dyDescent="0.25">
      <c r="A463" s="141">
        <v>5</v>
      </c>
      <c r="B463" s="141"/>
      <c r="C463" s="141"/>
      <c r="D463" s="18" t="s">
        <v>75</v>
      </c>
      <c r="E463" s="142">
        <f>E464+E466+E468</f>
        <v>77172861.280000001</v>
      </c>
      <c r="F463" s="141"/>
    </row>
    <row r="464" spans="1:6" x14ac:dyDescent="0.25">
      <c r="A464" s="19">
        <v>5</v>
      </c>
      <c r="B464" s="19">
        <v>1</v>
      </c>
      <c r="C464" s="19"/>
      <c r="D464" s="19" t="s">
        <v>76</v>
      </c>
      <c r="E464" s="143">
        <f>E465</f>
        <v>2672861.2799999998</v>
      </c>
      <c r="F464" s="19"/>
    </row>
    <row r="465" spans="1:10" x14ac:dyDescent="0.25">
      <c r="A465" s="46">
        <v>5</v>
      </c>
      <c r="B465" s="46">
        <v>1</v>
      </c>
      <c r="C465" s="47" t="s">
        <v>380</v>
      </c>
      <c r="D465" s="46" t="s">
        <v>381</v>
      </c>
      <c r="E465" s="170">
        <v>2672861.2799999998</v>
      </c>
      <c r="F465" s="271" t="s">
        <v>2</v>
      </c>
      <c r="G465" t="s">
        <v>3</v>
      </c>
    </row>
    <row r="466" spans="1:10" x14ac:dyDescent="0.25">
      <c r="A466" s="19">
        <v>5</v>
      </c>
      <c r="B466" s="19">
        <v>2</v>
      </c>
      <c r="C466" s="19"/>
      <c r="D466" s="19" t="s">
        <v>77</v>
      </c>
      <c r="E466" s="143">
        <f>E467</f>
        <v>2500000</v>
      </c>
      <c r="F466" s="19"/>
      <c r="G466" t="s">
        <v>3</v>
      </c>
    </row>
    <row r="467" spans="1:10" x14ac:dyDescent="0.25">
      <c r="A467" s="46">
        <v>5</v>
      </c>
      <c r="B467" s="46">
        <v>2</v>
      </c>
      <c r="C467" s="47" t="s">
        <v>380</v>
      </c>
      <c r="D467" s="46" t="s">
        <v>382</v>
      </c>
      <c r="E467" s="191">
        <v>2500000</v>
      </c>
      <c r="F467" s="271" t="s">
        <v>2</v>
      </c>
      <c r="H467" s="343">
        <f>M5*10%</f>
        <v>86335400</v>
      </c>
      <c r="I467" s="164">
        <f>H467/3600000</f>
        <v>23.982055555555554</v>
      </c>
    </row>
    <row r="468" spans="1:10" x14ac:dyDescent="0.25">
      <c r="A468" s="19">
        <v>5</v>
      </c>
      <c r="B468" s="19">
        <v>3</v>
      </c>
      <c r="C468" s="19"/>
      <c r="D468" s="19" t="s">
        <v>78</v>
      </c>
      <c r="E468" s="143">
        <f>E469</f>
        <v>72000000</v>
      </c>
      <c r="F468" s="19"/>
      <c r="H468" s="343">
        <f>3600000*30</f>
        <v>108000000</v>
      </c>
      <c r="I468" s="164">
        <f>10*3600000</f>
        <v>36000000</v>
      </c>
      <c r="J468" s="173">
        <f>I468/M5*100</f>
        <v>4.1697843526525622</v>
      </c>
    </row>
    <row r="469" spans="1:10" x14ac:dyDescent="0.25">
      <c r="A469" s="46">
        <v>5</v>
      </c>
      <c r="B469" s="46">
        <v>3</v>
      </c>
      <c r="C469" s="47" t="s">
        <v>380</v>
      </c>
      <c r="D469" s="46" t="s">
        <v>383</v>
      </c>
      <c r="E469" s="75">
        <f>SUM(E470:E470)</f>
        <v>72000000</v>
      </c>
      <c r="F469" s="46" t="s">
        <v>3</v>
      </c>
      <c r="H469" s="164">
        <f>E470/M5*100</f>
        <v>8.3395687053051244</v>
      </c>
      <c r="I469" s="164" t="s">
        <v>397</v>
      </c>
    </row>
    <row r="470" spans="1:10" x14ac:dyDescent="0.25">
      <c r="A470" s="46"/>
      <c r="B470" s="46"/>
      <c r="C470" s="47"/>
      <c r="D470" s="55" t="s">
        <v>669</v>
      </c>
      <c r="E470" s="323">
        <v>72000000</v>
      </c>
      <c r="F470" s="42"/>
      <c r="H470" s="164">
        <f>E470/3600000</f>
        <v>20</v>
      </c>
      <c r="I470" s="164" t="s">
        <v>420</v>
      </c>
    </row>
    <row r="471" spans="1:10" x14ac:dyDescent="0.25">
      <c r="A471" s="144"/>
      <c r="B471" s="144"/>
      <c r="C471" s="144"/>
      <c r="D471" s="144" t="s">
        <v>385</v>
      </c>
      <c r="E471" s="145">
        <f>E472</f>
        <v>0</v>
      </c>
      <c r="F471" s="144"/>
    </row>
    <row r="472" spans="1:10" x14ac:dyDescent="0.25">
      <c r="A472" s="46"/>
      <c r="B472" s="46"/>
      <c r="C472" s="46"/>
      <c r="D472" s="46" t="s">
        <v>386</v>
      </c>
      <c r="E472" s="146">
        <v>0</v>
      </c>
      <c r="F472" s="46" t="s">
        <v>3</v>
      </c>
      <c r="H472" s="164">
        <f>30*12</f>
        <v>360</v>
      </c>
    </row>
    <row r="475" spans="1:10" x14ac:dyDescent="0.25">
      <c r="D475" s="192" t="s">
        <v>392</v>
      </c>
      <c r="E475" s="191">
        <f>E4+E160+E356+E413+E463</f>
        <v>2217488642.8000002</v>
      </c>
    </row>
    <row r="476" spans="1:10" x14ac:dyDescent="0.25">
      <c r="D476" s="192" t="s">
        <v>422</v>
      </c>
      <c r="E476" s="191">
        <f>E475+E471</f>
        <v>2217488642.8000002</v>
      </c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7322834645669292" header="0.31496062992125984" footer="0.31496062992125984"/>
  <pageSetup paperSize="5" scale="88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78"/>
  <sheetViews>
    <sheetView view="pageBreakPreview" topLeftCell="A89" zoomScaleNormal="100" zoomScaleSheetLayoutView="100" workbookViewId="0">
      <selection activeCell="I110" sqref="I110"/>
    </sheetView>
  </sheetViews>
  <sheetFormatPr defaultRowHeight="15" x14ac:dyDescent="0.25"/>
  <cols>
    <col min="1" max="1" width="3.5703125" customWidth="1"/>
    <col min="2" max="3" width="4.5703125" customWidth="1"/>
    <col min="4" max="4" width="58.7109375" customWidth="1"/>
    <col min="5" max="5" width="16.5703125" customWidth="1"/>
    <col min="6" max="6" width="14.85546875" customWidth="1"/>
    <col min="7" max="7" width="14.28515625" bestFit="1" customWidth="1"/>
    <col min="8" max="8" width="16.28515625" style="164" bestFit="1" customWidth="1"/>
    <col min="9" max="9" width="17.140625" style="164" customWidth="1"/>
    <col min="10" max="10" width="14.140625" customWidth="1"/>
    <col min="11" max="11" width="16.140625" customWidth="1"/>
    <col min="12" max="12" width="15.85546875" customWidth="1"/>
    <col min="13" max="13" width="15.140625" customWidth="1"/>
    <col min="14" max="14" width="13.140625" customWidth="1"/>
    <col min="15" max="15" width="14" customWidth="1"/>
    <col min="16" max="16" width="12.42578125" customWidth="1"/>
    <col min="17" max="17" width="15.42578125" bestFit="1" customWidth="1"/>
  </cols>
  <sheetData>
    <row r="1" spans="1:19" x14ac:dyDescent="0.25">
      <c r="A1" s="377" t="s">
        <v>668</v>
      </c>
      <c r="B1" s="377"/>
      <c r="C1" s="377"/>
      <c r="D1" s="377"/>
      <c r="E1" s="377"/>
      <c r="F1" s="377"/>
    </row>
    <row r="2" spans="1:19" x14ac:dyDescent="0.25">
      <c r="A2" s="378"/>
      <c r="B2" s="378"/>
      <c r="C2" s="378"/>
      <c r="D2" s="378"/>
      <c r="E2" s="378"/>
      <c r="F2" s="378"/>
      <c r="H2" s="164">
        <f>E11-E14-E18</f>
        <v>0</v>
      </c>
    </row>
    <row r="3" spans="1:19" x14ac:dyDescent="0.25">
      <c r="A3" s="379" t="s">
        <v>82</v>
      </c>
      <c r="B3" s="379"/>
      <c r="C3" s="379"/>
      <c r="D3" s="28" t="s">
        <v>83</v>
      </c>
      <c r="E3" s="29" t="s">
        <v>84</v>
      </c>
      <c r="F3" s="349" t="s">
        <v>80</v>
      </c>
    </row>
    <row r="4" spans="1:19" x14ac:dyDescent="0.25">
      <c r="A4" s="7">
        <v>1</v>
      </c>
      <c r="B4" s="7"/>
      <c r="C4" s="7"/>
      <c r="D4" s="7" t="s">
        <v>21</v>
      </c>
      <c r="E4" s="31">
        <f>E5+E80+E98+E118+E148</f>
        <v>114200000</v>
      </c>
      <c r="F4" s="32"/>
      <c r="H4" s="333" t="s">
        <v>387</v>
      </c>
      <c r="I4" s="151" t="s">
        <v>0</v>
      </c>
      <c r="J4" s="148" t="s">
        <v>1</v>
      </c>
      <c r="K4" s="148" t="s">
        <v>2</v>
      </c>
      <c r="L4" s="350" t="s">
        <v>388</v>
      </c>
      <c r="M4" s="148" t="s">
        <v>3</v>
      </c>
      <c r="N4" s="148" t="s">
        <v>389</v>
      </c>
      <c r="O4" s="148" t="s">
        <v>5</v>
      </c>
      <c r="P4" s="148" t="s">
        <v>4</v>
      </c>
      <c r="Q4" s="164">
        <f>I5+J5+K5+M5+O5+P5</f>
        <v>1987556815.6199999</v>
      </c>
      <c r="S4" s="150"/>
    </row>
    <row r="5" spans="1:19" ht="32.25" hidden="1" customHeight="1" x14ac:dyDescent="0.25">
      <c r="A5" s="8">
        <v>1</v>
      </c>
      <c r="B5" s="8">
        <v>1</v>
      </c>
      <c r="C5" s="8"/>
      <c r="D5" s="6" t="s">
        <v>20</v>
      </c>
      <c r="E5" s="33">
        <f>E6+E11+E19+E33+E53+E56+E61+E72+E75</f>
        <v>51000000</v>
      </c>
      <c r="F5" s="8"/>
      <c r="H5" s="333" t="s">
        <v>391</v>
      </c>
      <c r="I5" s="151">
        <v>646789600</v>
      </c>
      <c r="J5" s="151">
        <v>158141454.34</v>
      </c>
      <c r="K5" s="151">
        <v>28771761.280000001</v>
      </c>
      <c r="L5" s="151">
        <v>41000000</v>
      </c>
      <c r="M5" s="151">
        <v>863354000</v>
      </c>
      <c r="N5" s="152">
        <v>5000000</v>
      </c>
      <c r="O5" s="152">
        <v>70500000</v>
      </c>
      <c r="P5" s="153">
        <v>220000000</v>
      </c>
      <c r="Q5" s="154">
        <f>SUM(I5:P5)</f>
        <v>2033556815.6199999</v>
      </c>
    </row>
    <row r="6" spans="1:19" hidden="1" x14ac:dyDescent="0.25">
      <c r="A6" s="3">
        <v>1</v>
      </c>
      <c r="B6" s="3">
        <v>1</v>
      </c>
      <c r="C6" s="34" t="s">
        <v>85</v>
      </c>
      <c r="D6" s="3" t="s">
        <v>15</v>
      </c>
      <c r="E6" s="35">
        <f>SUM(E7:E9)</f>
        <v>0</v>
      </c>
      <c r="F6" s="3" t="s">
        <v>0</v>
      </c>
      <c r="H6" s="333" t="s">
        <v>392</v>
      </c>
      <c r="I6" s="151">
        <f>E7+E8+E12+E13+E15+E16+E17+E19+E36+E38+E40+E41+E48+E49+E54+E83+E90+E119+E133+E141+E204+E434+E435</f>
        <v>0</v>
      </c>
      <c r="J6" s="151">
        <f>E43+E45+E47+E50+E57+E60+E82+E86+E88+E89+E91+E99+E111+E123+E127+E128+E129+E138+E149+E152+E172+E362-E366+E377+E380+E401+E403+E107+E411+E436+E437+E440</f>
        <v>180026137.45000002</v>
      </c>
      <c r="K6" s="151">
        <f>E108+E136+E217+E319+E366+E381+E382++E394+E409+E466+E469</f>
        <v>46771760.899999999</v>
      </c>
      <c r="L6" s="151">
        <f>E9+E14+E18+E34+E37+E42+E44+E46+E55+E58+E59+E176+E180+E207+E338+E346+E347</f>
        <v>0</v>
      </c>
      <c r="M6" s="151">
        <f>E61+E162-E164+E189+E196+E209+E210+E220+E252+E269+E276+E280+E284+E296+E292+E304+E306+E308+E310+E312+E313+E326+E336+E337+E353+E421+E423+E471</f>
        <v>0</v>
      </c>
      <c r="N6" s="151">
        <f>E52+E164+E51+E255+E257+E323</f>
        <v>0</v>
      </c>
      <c r="O6" s="151">
        <f>E72+E75</f>
        <v>0</v>
      </c>
      <c r="P6" s="155">
        <f>E94</f>
        <v>0</v>
      </c>
      <c r="Q6" s="156">
        <f>SUM(I6:P6)</f>
        <v>226797898.35000002</v>
      </c>
      <c r="R6" s="79"/>
      <c r="S6" s="157"/>
    </row>
    <row r="7" spans="1:19" hidden="1" x14ac:dyDescent="0.25">
      <c r="A7" s="3"/>
      <c r="B7" s="3"/>
      <c r="C7" s="34"/>
      <c r="D7" s="36" t="s">
        <v>595</v>
      </c>
      <c r="E7" s="37"/>
      <c r="F7" s="37">
        <v>4346708</v>
      </c>
      <c r="H7" s="333"/>
      <c r="I7" s="151"/>
      <c r="J7" s="155"/>
      <c r="K7" s="155"/>
      <c r="L7" s="151"/>
      <c r="M7" s="155"/>
      <c r="N7" s="155"/>
      <c r="O7" s="155"/>
      <c r="P7" s="155"/>
      <c r="Q7" s="158">
        <f>Q5-Q6</f>
        <v>1806758917.27</v>
      </c>
      <c r="R7" s="79"/>
      <c r="S7" s="79"/>
    </row>
    <row r="8" spans="1:19" hidden="1" x14ac:dyDescent="0.25">
      <c r="A8" s="3"/>
      <c r="B8" s="3"/>
      <c r="C8" s="34"/>
      <c r="D8" s="36" t="s">
        <v>505</v>
      </c>
      <c r="E8" s="37"/>
      <c r="F8" s="37">
        <f>E8/12</f>
        <v>0</v>
      </c>
      <c r="H8" s="333" t="s">
        <v>393</v>
      </c>
      <c r="I8" s="152">
        <f>I5-I6</f>
        <v>646789600</v>
      </c>
      <c r="J8" s="152">
        <f t="shared" ref="J8:P8" si="0">J5-J6</f>
        <v>-21884683.110000014</v>
      </c>
      <c r="K8" s="152">
        <f t="shared" si="0"/>
        <v>-17999999.619999997</v>
      </c>
      <c r="L8" s="152">
        <f t="shared" si="0"/>
        <v>41000000</v>
      </c>
      <c r="M8" s="151">
        <f>M5-M6</f>
        <v>863354000</v>
      </c>
      <c r="N8" s="151">
        <f t="shared" si="0"/>
        <v>5000000</v>
      </c>
      <c r="O8" s="151">
        <f t="shared" si="0"/>
        <v>70500000</v>
      </c>
      <c r="P8" s="155">
        <f t="shared" si="0"/>
        <v>220000000</v>
      </c>
      <c r="Q8" s="156"/>
      <c r="R8" s="79"/>
      <c r="S8" s="79"/>
    </row>
    <row r="9" spans="1:19" hidden="1" x14ac:dyDescent="0.25">
      <c r="A9" s="3"/>
      <c r="B9" s="3"/>
      <c r="C9" s="34"/>
      <c r="D9" s="36" t="s">
        <v>88</v>
      </c>
      <c r="E9" s="40"/>
      <c r="F9" s="36" t="s">
        <v>6</v>
      </c>
      <c r="H9" s="156"/>
      <c r="I9" s="156" t="s">
        <v>394</v>
      </c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hidden="1" x14ac:dyDescent="0.25">
      <c r="A10" s="3"/>
      <c r="B10" s="3"/>
      <c r="C10" s="34"/>
      <c r="D10" s="38"/>
      <c r="E10" s="37"/>
      <c r="F10" s="3"/>
      <c r="H10" s="265" t="s">
        <v>395</v>
      </c>
      <c r="I10" s="265">
        <f>Q6-P6-O6</f>
        <v>226797898.35000002</v>
      </c>
      <c r="J10" s="79"/>
      <c r="K10" s="316">
        <f>J5+K5</f>
        <v>186913215.62</v>
      </c>
      <c r="L10" s="159">
        <f>L5*20%</f>
        <v>8200000</v>
      </c>
      <c r="M10" s="79"/>
      <c r="N10" s="157"/>
      <c r="O10" s="157"/>
      <c r="P10" s="79"/>
      <c r="Q10" s="157"/>
      <c r="R10" s="79"/>
      <c r="S10" s="79"/>
    </row>
    <row r="11" spans="1:19" hidden="1" x14ac:dyDescent="0.25">
      <c r="A11" s="3">
        <v>1</v>
      </c>
      <c r="B11" s="3">
        <v>1</v>
      </c>
      <c r="C11" s="34" t="s">
        <v>89</v>
      </c>
      <c r="D11" s="2" t="s">
        <v>14</v>
      </c>
      <c r="E11" s="35">
        <f>SUM(E12:E18)</f>
        <v>0</v>
      </c>
      <c r="F11" s="2" t="s">
        <v>90</v>
      </c>
      <c r="H11" s="181">
        <v>0.3</v>
      </c>
      <c r="I11" s="344">
        <f>I10*30%</f>
        <v>68039369.50500001</v>
      </c>
      <c r="K11" s="162">
        <f>J6+K6</f>
        <v>226797898.35000002</v>
      </c>
      <c r="L11" s="163">
        <f>L5*10%</f>
        <v>4100000</v>
      </c>
      <c r="M11" s="164"/>
      <c r="Q11" s="165"/>
      <c r="R11" s="79"/>
      <c r="S11" s="79"/>
    </row>
    <row r="12" spans="1:19" hidden="1" x14ac:dyDescent="0.25">
      <c r="A12" s="3"/>
      <c r="B12" s="3"/>
      <c r="C12" s="34"/>
      <c r="D12" s="36" t="s">
        <v>596</v>
      </c>
      <c r="E12" s="37"/>
      <c r="F12" s="39" t="s">
        <v>0</v>
      </c>
      <c r="H12" s="181" t="s">
        <v>396</v>
      </c>
      <c r="I12" s="181">
        <f>E5-E19-E33-E61-E72-E75</f>
        <v>4500000</v>
      </c>
      <c r="J12" s="167">
        <f>I12/I10*100</f>
        <v>1.9841453702782956</v>
      </c>
      <c r="K12" s="168" t="s">
        <v>397</v>
      </c>
      <c r="L12" s="169"/>
      <c r="M12" s="164"/>
      <c r="O12" s="164"/>
      <c r="P12" s="1"/>
      <c r="Q12" s="1"/>
      <c r="R12" s="79"/>
      <c r="S12" s="79"/>
    </row>
    <row r="13" spans="1:19" hidden="1" x14ac:dyDescent="0.25">
      <c r="A13" s="3"/>
      <c r="B13" s="3"/>
      <c r="C13" s="34"/>
      <c r="D13" s="36" t="s">
        <v>506</v>
      </c>
      <c r="E13" s="37"/>
      <c r="F13" s="39" t="s">
        <v>0</v>
      </c>
      <c r="H13" s="181" t="s">
        <v>398</v>
      </c>
      <c r="I13" s="345">
        <f>I11-I12</f>
        <v>63539369.50500001</v>
      </c>
      <c r="K13" s="171"/>
      <c r="L13" s="169"/>
      <c r="M13" s="164"/>
      <c r="Q13" s="164"/>
      <c r="R13" s="79"/>
      <c r="S13" s="79"/>
    </row>
    <row r="14" spans="1:19" hidden="1" x14ac:dyDescent="0.25">
      <c r="A14" s="3"/>
      <c r="B14" s="3"/>
      <c r="C14" s="34"/>
      <c r="D14" s="36" t="s">
        <v>93</v>
      </c>
      <c r="E14" s="40"/>
      <c r="F14" s="39" t="s">
        <v>6</v>
      </c>
      <c r="H14" s="162"/>
      <c r="I14" s="346"/>
      <c r="J14" s="164"/>
      <c r="K14" s="171"/>
      <c r="L14" s="169"/>
      <c r="M14" s="164"/>
      <c r="Q14" s="164"/>
      <c r="R14" s="79"/>
      <c r="S14" s="79"/>
    </row>
    <row r="15" spans="1:19" hidden="1" x14ac:dyDescent="0.25">
      <c r="A15" s="3"/>
      <c r="B15" s="3"/>
      <c r="C15" s="34"/>
      <c r="D15" s="36" t="s">
        <v>597</v>
      </c>
      <c r="E15" s="37"/>
      <c r="F15" s="36" t="s">
        <v>0</v>
      </c>
      <c r="M15" s="173"/>
      <c r="N15" s="164"/>
    </row>
    <row r="16" spans="1:19" hidden="1" x14ac:dyDescent="0.25">
      <c r="A16" s="3"/>
      <c r="B16" s="3"/>
      <c r="C16" s="34"/>
      <c r="D16" s="36" t="s">
        <v>95</v>
      </c>
      <c r="E16" s="37">
        <v>0</v>
      </c>
      <c r="F16" s="36" t="s">
        <v>0</v>
      </c>
      <c r="M16" s="173"/>
      <c r="N16" s="164"/>
    </row>
    <row r="17" spans="1:17" hidden="1" x14ac:dyDescent="0.25">
      <c r="A17" s="3"/>
      <c r="B17" s="3"/>
      <c r="C17" s="34"/>
      <c r="D17" s="36" t="s">
        <v>507</v>
      </c>
      <c r="E17" s="37"/>
      <c r="F17" s="36" t="s">
        <v>0</v>
      </c>
      <c r="I17" s="164">
        <f>H17/108</f>
        <v>0</v>
      </c>
      <c r="J17" s="384">
        <f>J19+K19</f>
        <v>44872400</v>
      </c>
      <c r="K17" s="384"/>
    </row>
    <row r="18" spans="1:17" hidden="1" x14ac:dyDescent="0.25">
      <c r="A18" s="3"/>
      <c r="B18" s="3"/>
      <c r="C18" s="34"/>
      <c r="D18" s="36" t="s">
        <v>97</v>
      </c>
      <c r="E18" s="254"/>
      <c r="F18" s="42" t="s">
        <v>6</v>
      </c>
      <c r="H18" s="265"/>
      <c r="I18" s="176" t="s">
        <v>0</v>
      </c>
      <c r="J18" s="174" t="s">
        <v>1</v>
      </c>
      <c r="K18" s="174" t="s">
        <v>2</v>
      </c>
      <c r="L18" s="174" t="s">
        <v>6</v>
      </c>
      <c r="M18" s="174" t="s">
        <v>3</v>
      </c>
      <c r="N18" s="174" t="s">
        <v>9</v>
      </c>
      <c r="O18" s="174" t="s">
        <v>5</v>
      </c>
      <c r="P18" s="174" t="s">
        <v>4</v>
      </c>
      <c r="Q18" s="175"/>
    </row>
    <row r="19" spans="1:17" ht="12.75" hidden="1" customHeight="1" x14ac:dyDescent="0.25">
      <c r="A19" s="3">
        <v>1</v>
      </c>
      <c r="B19" s="3">
        <v>1</v>
      </c>
      <c r="C19" s="34" t="s">
        <v>98</v>
      </c>
      <c r="D19" s="2" t="s">
        <v>13</v>
      </c>
      <c r="E19" s="35">
        <f>SUM(E20:E32)</f>
        <v>0</v>
      </c>
      <c r="F19" s="3" t="s">
        <v>0</v>
      </c>
      <c r="H19" s="334" t="s">
        <v>390</v>
      </c>
      <c r="I19" s="176">
        <v>14073534.130000001</v>
      </c>
      <c r="J19" s="177">
        <f>20433800+1909500+3128000</f>
        <v>25471300</v>
      </c>
      <c r="K19" s="177">
        <f>13809500+1847000+3744600</f>
        <v>19401100</v>
      </c>
      <c r="L19" s="177">
        <v>13251738.82</v>
      </c>
      <c r="M19" s="176">
        <v>95323619.25</v>
      </c>
      <c r="N19" s="176">
        <v>16410534.98</v>
      </c>
      <c r="O19" s="176">
        <v>0</v>
      </c>
      <c r="P19" s="178">
        <v>0</v>
      </c>
      <c r="Q19" s="175"/>
    </row>
    <row r="20" spans="1:17" hidden="1" x14ac:dyDescent="0.25">
      <c r="A20" s="3"/>
      <c r="B20" s="3"/>
      <c r="C20" s="34"/>
      <c r="D20" s="43" t="s">
        <v>99</v>
      </c>
      <c r="E20" s="37"/>
      <c r="F20" s="3"/>
      <c r="H20" s="265" t="s">
        <v>399</v>
      </c>
      <c r="I20" s="381">
        <f>SUM(I19:N19)</f>
        <v>183931827.17999998</v>
      </c>
      <c r="J20" s="382"/>
      <c r="K20" s="382"/>
      <c r="L20" s="382"/>
      <c r="M20" s="382"/>
      <c r="N20" s="382"/>
      <c r="O20" s="382"/>
      <c r="P20" s="383"/>
      <c r="Q20" s="179"/>
    </row>
    <row r="21" spans="1:17" hidden="1" x14ac:dyDescent="0.25">
      <c r="A21" s="3"/>
      <c r="B21" s="3"/>
      <c r="C21" s="34"/>
      <c r="D21" s="43" t="s">
        <v>100</v>
      </c>
      <c r="E21" s="37"/>
      <c r="F21" s="44">
        <v>160828</v>
      </c>
      <c r="H21" s="335" t="s">
        <v>400</v>
      </c>
      <c r="I21" s="181">
        <f>I8+I19</f>
        <v>660863134.13</v>
      </c>
      <c r="J21" s="181">
        <f>J8+J19</f>
        <v>3586616.8899999857</v>
      </c>
      <c r="K21" s="181">
        <f>K8+K19</f>
        <v>1401100.3800000027</v>
      </c>
      <c r="L21" s="181">
        <f t="shared" ref="L21:M21" si="1">L8+L19</f>
        <v>54251738.82</v>
      </c>
      <c r="M21" s="181">
        <f t="shared" si="1"/>
        <v>958677619.25</v>
      </c>
      <c r="N21" s="181">
        <f>N8+N19</f>
        <v>21410534.98</v>
      </c>
      <c r="O21" s="181"/>
      <c r="P21" s="20"/>
      <c r="Q21" s="171"/>
    </row>
    <row r="22" spans="1:17" hidden="1" x14ac:dyDescent="0.25">
      <c r="A22" s="3"/>
      <c r="B22" s="3"/>
      <c r="C22" s="34"/>
      <c r="D22" s="43" t="s">
        <v>101</v>
      </c>
      <c r="E22" s="37"/>
      <c r="F22" s="44">
        <v>86934</v>
      </c>
      <c r="H22" s="265" t="s">
        <v>401</v>
      </c>
      <c r="I22" s="181">
        <f>I8+I19</f>
        <v>660863134.13</v>
      </c>
      <c r="J22" s="181">
        <f>J8+J19</f>
        <v>3586616.8899999857</v>
      </c>
      <c r="K22" s="181">
        <f>K8+K19</f>
        <v>1401100.3800000027</v>
      </c>
      <c r="L22" s="181">
        <f>L8+L19</f>
        <v>54251738.82</v>
      </c>
      <c r="M22" s="181">
        <f>M8+M19-E473</f>
        <v>958677619.25</v>
      </c>
      <c r="N22" s="181">
        <f>N8+N19</f>
        <v>21410534.98</v>
      </c>
      <c r="O22" s="181"/>
      <c r="P22" s="20"/>
    </row>
    <row r="23" spans="1:17" hidden="1" x14ac:dyDescent="0.25">
      <c r="A23" s="3"/>
      <c r="B23" s="3"/>
      <c r="C23" s="34"/>
      <c r="D23" s="43" t="s">
        <v>102</v>
      </c>
      <c r="E23" s="37"/>
      <c r="F23" s="44">
        <v>13040</v>
      </c>
    </row>
    <row r="24" spans="1:17" hidden="1" x14ac:dyDescent="0.25">
      <c r="A24" s="3"/>
      <c r="B24" s="3"/>
      <c r="C24" s="34"/>
      <c r="D24" s="43" t="s">
        <v>103</v>
      </c>
      <c r="E24" s="37"/>
      <c r="F24" s="44">
        <v>10432</v>
      </c>
      <c r="H24" s="164">
        <f>E21+E22+E23+E24</f>
        <v>0</v>
      </c>
    </row>
    <row r="25" spans="1:17" hidden="1" x14ac:dyDescent="0.25">
      <c r="A25" s="3"/>
      <c r="B25" s="3"/>
      <c r="C25" s="34"/>
      <c r="D25" s="43" t="s">
        <v>476</v>
      </c>
      <c r="E25" s="37"/>
      <c r="F25" s="44">
        <v>112579</v>
      </c>
      <c r="H25" s="164">
        <f>E19-H24</f>
        <v>0</v>
      </c>
      <c r="J25" s="164"/>
    </row>
    <row r="26" spans="1:17" hidden="1" x14ac:dyDescent="0.25">
      <c r="A26" s="3"/>
      <c r="B26" s="3"/>
      <c r="C26" s="34"/>
      <c r="D26" s="43" t="s">
        <v>477</v>
      </c>
      <c r="E26" s="37"/>
      <c r="F26" s="44">
        <v>60854</v>
      </c>
    </row>
    <row r="27" spans="1:17" hidden="1" x14ac:dyDescent="0.25">
      <c r="A27" s="3"/>
      <c r="B27" s="3"/>
      <c r="C27" s="34"/>
      <c r="D27" s="43" t="s">
        <v>478</v>
      </c>
      <c r="E27" s="37"/>
      <c r="F27" s="44">
        <v>9128</v>
      </c>
    </row>
    <row r="28" spans="1:17" hidden="1" x14ac:dyDescent="0.25">
      <c r="A28" s="3"/>
      <c r="B28" s="3"/>
      <c r="C28" s="34"/>
      <c r="D28" s="43" t="s">
        <v>479</v>
      </c>
      <c r="E28" s="37"/>
      <c r="F28" s="44">
        <v>7302</v>
      </c>
    </row>
    <row r="29" spans="1:17" hidden="1" x14ac:dyDescent="0.25">
      <c r="A29" s="3"/>
      <c r="B29" s="3"/>
      <c r="C29" s="34"/>
      <c r="D29" s="43" t="s">
        <v>105</v>
      </c>
      <c r="E29" s="37"/>
      <c r="F29" s="44">
        <v>80414</v>
      </c>
      <c r="L29" s="164">
        <f>I22+J22+K22+L22+N22</f>
        <v>741513125.20000005</v>
      </c>
    </row>
    <row r="30" spans="1:17" hidden="1" x14ac:dyDescent="0.25">
      <c r="A30" s="3"/>
      <c r="B30" s="3"/>
      <c r="C30" s="34"/>
      <c r="D30" s="43" t="s">
        <v>106</v>
      </c>
      <c r="E30" s="37"/>
      <c r="F30" s="44">
        <v>43467</v>
      </c>
      <c r="I30" s="194">
        <f>E9+E14+E18</f>
        <v>0</v>
      </c>
    </row>
    <row r="31" spans="1:17" hidden="1" x14ac:dyDescent="0.25">
      <c r="A31" s="3"/>
      <c r="B31" s="3"/>
      <c r="C31" s="34"/>
      <c r="D31" s="43" t="s">
        <v>107</v>
      </c>
      <c r="E31" s="37"/>
      <c r="F31" s="44">
        <v>6520</v>
      </c>
    </row>
    <row r="32" spans="1:17" hidden="1" x14ac:dyDescent="0.25">
      <c r="A32" s="3"/>
      <c r="B32" s="3"/>
      <c r="C32" s="34"/>
      <c r="D32" s="43" t="s">
        <v>108</v>
      </c>
      <c r="E32" s="37"/>
      <c r="F32" s="44">
        <v>5216</v>
      </c>
      <c r="N32">
        <f>201-128</f>
        <v>73</v>
      </c>
    </row>
    <row r="33" spans="1:10" x14ac:dyDescent="0.25">
      <c r="A33" s="3">
        <v>1</v>
      </c>
      <c r="B33" s="3">
        <v>1</v>
      </c>
      <c r="C33" s="34" t="s">
        <v>109</v>
      </c>
      <c r="D33" s="4" t="s">
        <v>16</v>
      </c>
      <c r="E33" s="45">
        <f>SUM(E34:E52)</f>
        <v>46500000</v>
      </c>
      <c r="F33" s="2"/>
    </row>
    <row r="34" spans="1:10" hidden="1" x14ac:dyDescent="0.25">
      <c r="A34" s="46"/>
      <c r="B34" s="46"/>
      <c r="C34" s="47"/>
      <c r="D34" s="48" t="s">
        <v>110</v>
      </c>
      <c r="E34" s="49"/>
      <c r="F34" s="42" t="s">
        <v>6</v>
      </c>
      <c r="G34" s="173">
        <f>E34/12</f>
        <v>0</v>
      </c>
      <c r="H34" s="164">
        <f>E34+E37+E42+E44+E46</f>
        <v>0</v>
      </c>
    </row>
    <row r="35" spans="1:10" hidden="1" x14ac:dyDescent="0.25">
      <c r="A35" s="46"/>
      <c r="B35" s="46"/>
      <c r="C35" s="47"/>
      <c r="D35" s="48" t="s">
        <v>110</v>
      </c>
      <c r="E35" s="49"/>
      <c r="F35" s="42" t="s">
        <v>111</v>
      </c>
    </row>
    <row r="36" spans="1:10" hidden="1" x14ac:dyDescent="0.25">
      <c r="A36" s="46"/>
      <c r="B36" s="46"/>
      <c r="C36" s="47"/>
      <c r="D36" s="48" t="s">
        <v>112</v>
      </c>
      <c r="E36" s="49"/>
      <c r="F36" s="48" t="s">
        <v>0</v>
      </c>
      <c r="H36" s="164">
        <f>E36+E38+E40+E41+E48+E49</f>
        <v>0</v>
      </c>
    </row>
    <row r="37" spans="1:10" hidden="1" x14ac:dyDescent="0.25">
      <c r="A37" s="46"/>
      <c r="B37" s="46"/>
      <c r="C37" s="47"/>
      <c r="D37" s="48" t="s">
        <v>113</v>
      </c>
      <c r="E37" s="49"/>
      <c r="F37" s="48" t="s">
        <v>6</v>
      </c>
      <c r="G37" s="173">
        <f>E37/12</f>
        <v>0</v>
      </c>
      <c r="H37" s="164">
        <f>E52</f>
        <v>0</v>
      </c>
    </row>
    <row r="38" spans="1:10" hidden="1" x14ac:dyDescent="0.25">
      <c r="A38" s="46"/>
      <c r="B38" s="46"/>
      <c r="C38" s="47"/>
      <c r="D38" s="42" t="s">
        <v>114</v>
      </c>
      <c r="E38" s="51"/>
      <c r="F38" s="42" t="s">
        <v>0</v>
      </c>
      <c r="G38" s="173">
        <f>E38/120000</f>
        <v>0</v>
      </c>
      <c r="H38" s="164">
        <f>E43+E45+E47+E50</f>
        <v>46500000</v>
      </c>
    </row>
    <row r="39" spans="1:10" hidden="1" x14ac:dyDescent="0.25">
      <c r="A39" s="46"/>
      <c r="B39" s="46"/>
      <c r="C39" s="47"/>
      <c r="D39" s="42" t="s">
        <v>115</v>
      </c>
      <c r="E39" s="50"/>
      <c r="F39" s="42" t="s">
        <v>0</v>
      </c>
    </row>
    <row r="40" spans="1:10" hidden="1" x14ac:dyDescent="0.25">
      <c r="A40" s="46"/>
      <c r="B40" s="46"/>
      <c r="C40" s="47"/>
      <c r="D40" s="42" t="s">
        <v>116</v>
      </c>
      <c r="E40" s="50"/>
      <c r="F40" s="42" t="s">
        <v>0</v>
      </c>
    </row>
    <row r="41" spans="1:10" hidden="1" x14ac:dyDescent="0.25">
      <c r="A41" s="46"/>
      <c r="B41" s="46"/>
      <c r="C41" s="47"/>
      <c r="D41" s="48" t="s">
        <v>410</v>
      </c>
      <c r="E41" s="49"/>
      <c r="F41" s="52" t="s">
        <v>0</v>
      </c>
      <c r="G41" t="s">
        <v>9</v>
      </c>
    </row>
    <row r="42" spans="1:10" hidden="1" x14ac:dyDescent="0.25">
      <c r="A42" s="46"/>
      <c r="B42" s="46"/>
      <c r="C42" s="46"/>
      <c r="D42" s="42" t="s">
        <v>117</v>
      </c>
      <c r="E42" s="50"/>
      <c r="F42" s="42" t="s">
        <v>6</v>
      </c>
    </row>
    <row r="43" spans="1:10" x14ac:dyDescent="0.25">
      <c r="A43" s="46"/>
      <c r="B43" s="46"/>
      <c r="C43" s="46"/>
      <c r="D43" s="42" t="s">
        <v>602</v>
      </c>
      <c r="E43" s="50">
        <v>10000000</v>
      </c>
      <c r="F43" s="324" t="s">
        <v>426</v>
      </c>
    </row>
    <row r="44" spans="1:10" hidden="1" x14ac:dyDescent="0.25">
      <c r="A44" s="46"/>
      <c r="B44" s="46"/>
      <c r="C44" s="46"/>
      <c r="D44" s="42" t="s">
        <v>540</v>
      </c>
      <c r="E44" s="50">
        <v>0</v>
      </c>
      <c r="F44" s="324" t="s">
        <v>426</v>
      </c>
      <c r="H44" s="164">
        <f>SUM(E43:E45)</f>
        <v>20000000</v>
      </c>
    </row>
    <row r="45" spans="1:10" x14ac:dyDescent="0.25">
      <c r="A45" s="46"/>
      <c r="B45" s="46"/>
      <c r="C45" s="46"/>
      <c r="D45" s="42" t="s">
        <v>540</v>
      </c>
      <c r="E45" s="50">
        <v>10000000</v>
      </c>
      <c r="F45" s="324" t="s">
        <v>426</v>
      </c>
      <c r="G45" t="s">
        <v>2</v>
      </c>
    </row>
    <row r="46" spans="1:10" hidden="1" x14ac:dyDescent="0.25">
      <c r="A46" s="46"/>
      <c r="B46" s="46"/>
      <c r="C46" s="46"/>
      <c r="D46" s="42" t="s">
        <v>119</v>
      </c>
      <c r="E46" s="50"/>
      <c r="F46" s="42" t="s">
        <v>6</v>
      </c>
      <c r="J46">
        <f>25*10000</f>
        <v>250000</v>
      </c>
    </row>
    <row r="47" spans="1:10" x14ac:dyDescent="0.25">
      <c r="A47" s="46"/>
      <c r="B47" s="46"/>
      <c r="C47" s="46"/>
      <c r="D47" s="42" t="s">
        <v>610</v>
      </c>
      <c r="E47" s="50">
        <v>25500000</v>
      </c>
      <c r="F47" s="52" t="s">
        <v>1</v>
      </c>
      <c r="H47" s="164">
        <f>SUM(E47:E48)</f>
        <v>25500000</v>
      </c>
      <c r="J47">
        <f>25*5000</f>
        <v>125000</v>
      </c>
    </row>
    <row r="48" spans="1:10" hidden="1" x14ac:dyDescent="0.25">
      <c r="A48" s="46"/>
      <c r="B48" s="46"/>
      <c r="C48" s="46"/>
      <c r="D48" s="42" t="s">
        <v>611</v>
      </c>
      <c r="E48" s="51"/>
      <c r="F48" s="52" t="s">
        <v>0</v>
      </c>
      <c r="H48" s="164">
        <f>H47/12</f>
        <v>2125000</v>
      </c>
      <c r="J48">
        <f>SUM(J46:J47)</f>
        <v>375000</v>
      </c>
    </row>
    <row r="49" spans="1:10" hidden="1" x14ac:dyDescent="0.25">
      <c r="A49" s="46"/>
      <c r="B49" s="46"/>
      <c r="C49" s="46"/>
      <c r="D49" s="42" t="s">
        <v>537</v>
      </c>
      <c r="E49" s="51">
        <v>0</v>
      </c>
      <c r="F49" s="52" t="s">
        <v>0</v>
      </c>
      <c r="G49" s="173">
        <f>E49/700000</f>
        <v>0</v>
      </c>
    </row>
    <row r="50" spans="1:10" x14ac:dyDescent="0.25">
      <c r="A50" s="46"/>
      <c r="B50" s="46"/>
      <c r="C50" s="46"/>
      <c r="D50" s="48" t="s">
        <v>652</v>
      </c>
      <c r="E50" s="49">
        <v>1000000</v>
      </c>
      <c r="F50" s="273" t="s">
        <v>1</v>
      </c>
      <c r="G50" s="173"/>
    </row>
    <row r="51" spans="1:10" hidden="1" x14ac:dyDescent="0.25">
      <c r="A51" s="46"/>
      <c r="B51" s="46"/>
      <c r="C51" s="46"/>
      <c r="D51" s="73" t="s">
        <v>653</v>
      </c>
      <c r="E51" s="321">
        <v>0</v>
      </c>
      <c r="F51" s="356" t="s">
        <v>9</v>
      </c>
      <c r="G51" s="173"/>
    </row>
    <row r="52" spans="1:10" hidden="1" x14ac:dyDescent="0.25">
      <c r="A52" s="46"/>
      <c r="B52" s="46"/>
      <c r="C52" s="46"/>
      <c r="D52" s="52" t="s">
        <v>612</v>
      </c>
      <c r="E52" s="51">
        <v>0</v>
      </c>
      <c r="F52" s="52" t="s">
        <v>9</v>
      </c>
      <c r="G52" s="173"/>
    </row>
    <row r="53" spans="1:10" hidden="1" x14ac:dyDescent="0.25">
      <c r="A53" s="5">
        <v>1</v>
      </c>
      <c r="B53" s="5">
        <v>1</v>
      </c>
      <c r="C53" s="53" t="s">
        <v>122</v>
      </c>
      <c r="D53" s="5" t="s">
        <v>17</v>
      </c>
      <c r="E53" s="54">
        <f>SUM(E54:E55)</f>
        <v>0</v>
      </c>
      <c r="F53" s="195" t="s">
        <v>0</v>
      </c>
      <c r="H53" s="164">
        <f>5*12</f>
        <v>60</v>
      </c>
    </row>
    <row r="54" spans="1:10" hidden="1" x14ac:dyDescent="0.25">
      <c r="A54" s="5"/>
      <c r="B54" s="5"/>
      <c r="C54" s="53"/>
      <c r="D54" s="55" t="s">
        <v>123</v>
      </c>
      <c r="E54" s="50"/>
      <c r="F54" s="52" t="s">
        <v>0</v>
      </c>
      <c r="H54" s="164" t="s">
        <v>541</v>
      </c>
      <c r="I54" s="164">
        <f>950000*12</f>
        <v>11400000</v>
      </c>
      <c r="J54">
        <v>850000</v>
      </c>
    </row>
    <row r="55" spans="1:10" hidden="1" x14ac:dyDescent="0.25">
      <c r="A55" s="5"/>
      <c r="B55" s="5"/>
      <c r="C55" s="53"/>
      <c r="D55" s="55" t="s">
        <v>124</v>
      </c>
      <c r="E55" s="50"/>
      <c r="F55" s="52" t="s">
        <v>6</v>
      </c>
      <c r="H55" s="164" t="s">
        <v>525</v>
      </c>
      <c r="I55" s="164">
        <f>875000*12</f>
        <v>10500000</v>
      </c>
      <c r="J55">
        <v>800000</v>
      </c>
    </row>
    <row r="56" spans="1:10" x14ac:dyDescent="0.25">
      <c r="A56" s="5">
        <v>1</v>
      </c>
      <c r="B56" s="5">
        <v>1</v>
      </c>
      <c r="C56" s="53" t="s">
        <v>125</v>
      </c>
      <c r="D56" s="5" t="s">
        <v>18</v>
      </c>
      <c r="E56" s="54">
        <f>SUM(E57:E60)</f>
        <v>4500000</v>
      </c>
      <c r="F56" s="195" t="s">
        <v>1</v>
      </c>
      <c r="G56" s="173">
        <f>E57+E60</f>
        <v>4500000</v>
      </c>
      <c r="H56" s="164" t="s">
        <v>526</v>
      </c>
      <c r="I56" s="164">
        <f>I55</f>
        <v>10500000</v>
      </c>
      <c r="J56">
        <v>800000</v>
      </c>
    </row>
    <row r="57" spans="1:10" x14ac:dyDescent="0.25">
      <c r="A57" s="46"/>
      <c r="B57" s="46"/>
      <c r="C57" s="46"/>
      <c r="D57" s="42" t="s">
        <v>126</v>
      </c>
      <c r="E57" s="50">
        <v>1500000</v>
      </c>
      <c r="F57" s="42" t="s">
        <v>1</v>
      </c>
      <c r="G57" t="s">
        <v>6</v>
      </c>
      <c r="H57" s="164" t="s">
        <v>542</v>
      </c>
      <c r="I57" s="164">
        <f>837500*12</f>
        <v>10050000</v>
      </c>
      <c r="J57">
        <v>775000</v>
      </c>
    </row>
    <row r="58" spans="1:10" hidden="1" x14ac:dyDescent="0.25">
      <c r="A58" s="46"/>
      <c r="B58" s="46"/>
      <c r="C58" s="46"/>
      <c r="D58" s="42" t="s">
        <v>127</v>
      </c>
      <c r="E58" s="50"/>
      <c r="F58" s="42" t="s">
        <v>6</v>
      </c>
      <c r="H58" s="164" t="s">
        <v>542</v>
      </c>
      <c r="I58" s="164">
        <f>I57</f>
        <v>10050000</v>
      </c>
      <c r="J58">
        <v>775000</v>
      </c>
    </row>
    <row r="59" spans="1:10" hidden="1" x14ac:dyDescent="0.25">
      <c r="A59" s="46"/>
      <c r="B59" s="46"/>
      <c r="C59" s="46"/>
      <c r="D59" s="42" t="s">
        <v>128</v>
      </c>
      <c r="E59" s="50"/>
      <c r="F59" s="42" t="s">
        <v>6</v>
      </c>
      <c r="I59" s="194">
        <f>SUM(I54:I58)</f>
        <v>52500000</v>
      </c>
      <c r="J59">
        <f>SUM(J54:J58)</f>
        <v>4000000</v>
      </c>
    </row>
    <row r="60" spans="1:10" x14ac:dyDescent="0.25">
      <c r="A60" s="46"/>
      <c r="B60" s="46"/>
      <c r="C60" s="46"/>
      <c r="D60" s="42" t="s">
        <v>129</v>
      </c>
      <c r="E60" s="50">
        <v>3000000</v>
      </c>
      <c r="F60" s="42" t="s">
        <v>1</v>
      </c>
      <c r="G60" t="s">
        <v>6</v>
      </c>
    </row>
    <row r="61" spans="1:10" hidden="1" x14ac:dyDescent="0.25">
      <c r="A61" s="5">
        <v>1</v>
      </c>
      <c r="B61" s="5">
        <v>1</v>
      </c>
      <c r="C61" s="53" t="s">
        <v>160</v>
      </c>
      <c r="D61" s="5" t="s">
        <v>438</v>
      </c>
      <c r="E61" s="54">
        <f>E62+E65+E68</f>
        <v>0</v>
      </c>
      <c r="F61" s="5" t="s">
        <v>3</v>
      </c>
      <c r="H61" s="164">
        <f>M5*3%</f>
        <v>25900620</v>
      </c>
    </row>
    <row r="62" spans="1:10" hidden="1" x14ac:dyDescent="0.25">
      <c r="A62" s="46"/>
      <c r="B62" s="46"/>
      <c r="C62" s="55" t="s">
        <v>85</v>
      </c>
      <c r="D62" s="63" t="s">
        <v>439</v>
      </c>
      <c r="E62" s="64">
        <f>E63+E64</f>
        <v>0</v>
      </c>
      <c r="F62" s="42"/>
      <c r="H62" s="164">
        <f>E61/M5*100</f>
        <v>0</v>
      </c>
    </row>
    <row r="63" spans="1:10" hidden="1" x14ac:dyDescent="0.25">
      <c r="A63" s="46"/>
      <c r="B63" s="46"/>
      <c r="C63" s="55"/>
      <c r="D63" s="55" t="s">
        <v>468</v>
      </c>
      <c r="E63" s="50"/>
      <c r="F63" s="42"/>
    </row>
    <row r="64" spans="1:10" hidden="1" x14ac:dyDescent="0.25">
      <c r="A64" s="46"/>
      <c r="B64" s="46"/>
      <c r="C64" s="55"/>
      <c r="D64" s="55" t="s">
        <v>469</v>
      </c>
      <c r="E64" s="51">
        <v>0</v>
      </c>
      <c r="F64" s="42"/>
    </row>
    <row r="65" spans="1:8" ht="30" hidden="1" x14ac:dyDescent="0.25">
      <c r="A65" s="97"/>
      <c r="B65" s="97"/>
      <c r="C65" s="38" t="s">
        <v>89</v>
      </c>
      <c r="D65" s="99" t="s">
        <v>440</v>
      </c>
      <c r="E65" s="100">
        <f>E66+E67</f>
        <v>0</v>
      </c>
      <c r="F65" s="36"/>
    </row>
    <row r="66" spans="1:8" hidden="1" x14ac:dyDescent="0.25">
      <c r="A66" s="97"/>
      <c r="B66" s="97"/>
      <c r="C66" s="38"/>
      <c r="D66" s="101" t="s">
        <v>470</v>
      </c>
      <c r="E66" s="40">
        <v>0</v>
      </c>
      <c r="F66" s="36"/>
    </row>
    <row r="67" spans="1:8" hidden="1" x14ac:dyDescent="0.25">
      <c r="A67" s="97"/>
      <c r="B67" s="97"/>
      <c r="C67" s="38"/>
      <c r="D67" s="101" t="s">
        <v>471</v>
      </c>
      <c r="E67" s="37"/>
      <c r="F67" s="36"/>
    </row>
    <row r="68" spans="1:8" hidden="1" x14ac:dyDescent="0.25">
      <c r="A68" s="46"/>
      <c r="B68" s="46"/>
      <c r="C68" s="55" t="s">
        <v>98</v>
      </c>
      <c r="D68" s="63" t="s">
        <v>441</v>
      </c>
      <c r="E68" s="64">
        <f>E69+E70+E71</f>
        <v>0</v>
      </c>
      <c r="F68" s="42"/>
    </row>
    <row r="69" spans="1:8" hidden="1" x14ac:dyDescent="0.25">
      <c r="A69" s="46"/>
      <c r="B69" s="46"/>
      <c r="C69" s="55"/>
      <c r="D69" s="55" t="s">
        <v>472</v>
      </c>
      <c r="E69" s="50"/>
      <c r="F69" s="42"/>
    </row>
    <row r="70" spans="1:8" hidden="1" x14ac:dyDescent="0.25">
      <c r="A70" s="46"/>
      <c r="B70" s="46"/>
      <c r="C70" s="55"/>
      <c r="D70" s="55" t="s">
        <v>543</v>
      </c>
      <c r="E70" s="50"/>
      <c r="F70" s="42"/>
    </row>
    <row r="71" spans="1:8" hidden="1" x14ac:dyDescent="0.25">
      <c r="A71" s="46"/>
      <c r="B71" s="46"/>
      <c r="C71" s="55"/>
      <c r="D71" s="55" t="s">
        <v>474</v>
      </c>
      <c r="E71" s="50"/>
      <c r="F71" s="42"/>
    </row>
    <row r="72" spans="1:8" hidden="1" x14ac:dyDescent="0.25">
      <c r="A72" s="5">
        <v>1</v>
      </c>
      <c r="B72" s="5">
        <v>1</v>
      </c>
      <c r="C72" s="53" t="s">
        <v>130</v>
      </c>
      <c r="D72" s="5" t="s">
        <v>19</v>
      </c>
      <c r="E72" s="54">
        <f>E73+E74</f>
        <v>0</v>
      </c>
      <c r="F72" s="5" t="s">
        <v>131</v>
      </c>
    </row>
    <row r="73" spans="1:8" hidden="1" x14ac:dyDescent="0.25">
      <c r="A73" s="46"/>
      <c r="B73" s="46"/>
      <c r="C73" s="46"/>
      <c r="D73" s="42" t="s">
        <v>19</v>
      </c>
      <c r="E73" s="50"/>
      <c r="F73" s="42" t="s">
        <v>131</v>
      </c>
    </row>
    <row r="74" spans="1:8" hidden="1" x14ac:dyDescent="0.25">
      <c r="A74" s="46"/>
      <c r="B74" s="46"/>
      <c r="C74" s="46"/>
      <c r="D74" s="324" t="s">
        <v>663</v>
      </c>
      <c r="E74" s="323"/>
      <c r="F74" s="42"/>
    </row>
    <row r="75" spans="1:8" hidden="1" x14ac:dyDescent="0.25">
      <c r="A75" s="5">
        <v>1</v>
      </c>
      <c r="B75" s="5">
        <v>1</v>
      </c>
      <c r="C75" s="53" t="s">
        <v>444</v>
      </c>
      <c r="D75" s="5" t="s">
        <v>445</v>
      </c>
      <c r="E75" s="54">
        <f>SUM(E76:E79)</f>
        <v>0</v>
      </c>
      <c r="F75" s="5" t="s">
        <v>131</v>
      </c>
      <c r="G75">
        <f>12*10</f>
        <v>120</v>
      </c>
    </row>
    <row r="76" spans="1:8" hidden="1" x14ac:dyDescent="0.25">
      <c r="A76" s="5"/>
      <c r="B76" s="5"/>
      <c r="C76" s="53"/>
      <c r="D76" s="42" t="s">
        <v>446</v>
      </c>
      <c r="E76" s="50"/>
      <c r="F76" s="42"/>
      <c r="H76" s="164">
        <f>9*12</f>
        <v>108</v>
      </c>
    </row>
    <row r="77" spans="1:8" hidden="1" x14ac:dyDescent="0.25">
      <c r="A77" s="5"/>
      <c r="B77" s="5"/>
      <c r="C77" s="53"/>
      <c r="D77" s="324" t="s">
        <v>661</v>
      </c>
      <c r="E77" s="323"/>
      <c r="F77" s="42"/>
    </row>
    <row r="78" spans="1:8" hidden="1" x14ac:dyDescent="0.25">
      <c r="A78" s="5"/>
      <c r="B78" s="5"/>
      <c r="C78" s="53"/>
      <c r="D78" s="42" t="s">
        <v>447</v>
      </c>
      <c r="E78" s="50"/>
      <c r="F78" s="42"/>
    </row>
    <row r="79" spans="1:8" hidden="1" x14ac:dyDescent="0.25">
      <c r="A79" s="46"/>
      <c r="B79" s="46"/>
      <c r="C79" s="46"/>
      <c r="D79" s="324" t="s">
        <v>662</v>
      </c>
      <c r="E79" s="323"/>
      <c r="F79" s="42"/>
    </row>
    <row r="80" spans="1:8" hidden="1" x14ac:dyDescent="0.25">
      <c r="A80" s="8">
        <v>1</v>
      </c>
      <c r="B80" s="8">
        <v>2</v>
      </c>
      <c r="C80" s="56"/>
      <c r="D80" s="8" t="s">
        <v>25</v>
      </c>
      <c r="E80" s="57">
        <f>E81+E84+E94</f>
        <v>9200000</v>
      </c>
      <c r="F80" s="58"/>
    </row>
    <row r="81" spans="1:15" hidden="1" x14ac:dyDescent="0.25">
      <c r="A81" s="5">
        <v>1</v>
      </c>
      <c r="B81" s="5">
        <v>2</v>
      </c>
      <c r="C81" s="53" t="s">
        <v>85</v>
      </c>
      <c r="D81" s="5" t="s">
        <v>22</v>
      </c>
      <c r="E81" s="54">
        <f>SUM(E82:E83)</f>
        <v>0</v>
      </c>
      <c r="F81" s="5" t="s">
        <v>0</v>
      </c>
    </row>
    <row r="82" spans="1:15" hidden="1" x14ac:dyDescent="0.25">
      <c r="A82" s="46"/>
      <c r="B82" s="46"/>
      <c r="C82" s="47"/>
      <c r="D82" s="42" t="s">
        <v>409</v>
      </c>
      <c r="E82" s="51">
        <v>0</v>
      </c>
      <c r="F82" s="42" t="s">
        <v>1</v>
      </c>
    </row>
    <row r="83" spans="1:15" hidden="1" x14ac:dyDescent="0.25">
      <c r="A83" s="46"/>
      <c r="B83" s="46"/>
      <c r="C83" s="47"/>
      <c r="D83" s="324" t="s">
        <v>667</v>
      </c>
      <c r="E83" s="323"/>
      <c r="F83" s="42" t="s">
        <v>0</v>
      </c>
    </row>
    <row r="84" spans="1:15" x14ac:dyDescent="0.25">
      <c r="A84" s="3">
        <v>1</v>
      </c>
      <c r="B84" s="3">
        <v>2</v>
      </c>
      <c r="C84" s="34" t="s">
        <v>89</v>
      </c>
      <c r="D84" s="3" t="s">
        <v>23</v>
      </c>
      <c r="E84" s="35">
        <f>E85+E89+E90+E91</f>
        <v>9200000</v>
      </c>
      <c r="F84" s="223" t="s">
        <v>1</v>
      </c>
    </row>
    <row r="85" spans="1:15" x14ac:dyDescent="0.25">
      <c r="A85" s="5"/>
      <c r="B85" s="5"/>
      <c r="C85" s="53"/>
      <c r="D85" s="60" t="s">
        <v>134</v>
      </c>
      <c r="E85" s="61">
        <f>SUM(E86:E88)</f>
        <v>3000000</v>
      </c>
      <c r="F85" s="60" t="s">
        <v>1</v>
      </c>
      <c r="G85" s="173">
        <f>E84-E90</f>
        <v>9200000</v>
      </c>
    </row>
    <row r="86" spans="1:15" x14ac:dyDescent="0.25">
      <c r="A86" s="5"/>
      <c r="B86" s="5"/>
      <c r="C86" s="53"/>
      <c r="D86" s="62" t="s">
        <v>136</v>
      </c>
      <c r="E86" s="49">
        <v>3000000</v>
      </c>
      <c r="F86" s="48" t="s">
        <v>1</v>
      </c>
    </row>
    <row r="87" spans="1:15" hidden="1" x14ac:dyDescent="0.25">
      <c r="A87" s="5"/>
      <c r="B87" s="5"/>
      <c r="C87" s="53"/>
      <c r="D87" s="62" t="s">
        <v>136</v>
      </c>
      <c r="E87" s="49">
        <v>0</v>
      </c>
      <c r="F87" s="48" t="s">
        <v>0</v>
      </c>
    </row>
    <row r="88" spans="1:15" hidden="1" x14ac:dyDescent="0.25">
      <c r="A88" s="5"/>
      <c r="B88" s="5"/>
      <c r="C88" s="53"/>
      <c r="D88" s="320" t="s">
        <v>137</v>
      </c>
      <c r="E88" s="278">
        <v>0</v>
      </c>
      <c r="F88" s="48" t="s">
        <v>1</v>
      </c>
      <c r="G88" t="s">
        <v>6</v>
      </c>
    </row>
    <row r="89" spans="1:15" x14ac:dyDescent="0.25">
      <c r="A89" s="5"/>
      <c r="B89" s="5"/>
      <c r="C89" s="53"/>
      <c r="D89" s="63" t="s">
        <v>138</v>
      </c>
      <c r="E89" s="64">
        <v>3000000</v>
      </c>
      <c r="F89" s="63" t="s">
        <v>1</v>
      </c>
      <c r="G89" t="s">
        <v>2</v>
      </c>
      <c r="H89" s="194" t="s">
        <v>1</v>
      </c>
      <c r="I89" s="164" t="s">
        <v>2</v>
      </c>
      <c r="J89" t="s">
        <v>453</v>
      </c>
      <c r="K89" t="s">
        <v>454</v>
      </c>
      <c r="L89" t="s">
        <v>672</v>
      </c>
      <c r="M89" t="s">
        <v>676</v>
      </c>
      <c r="N89" t="s">
        <v>673</v>
      </c>
      <c r="O89" t="s">
        <v>677</v>
      </c>
    </row>
    <row r="90" spans="1:15" hidden="1" x14ac:dyDescent="0.25">
      <c r="A90" s="5"/>
      <c r="B90" s="5"/>
      <c r="C90" s="53"/>
      <c r="D90" s="63" t="s">
        <v>139</v>
      </c>
      <c r="E90" s="64"/>
      <c r="F90" s="63" t="s">
        <v>0</v>
      </c>
    </row>
    <row r="91" spans="1:15" x14ac:dyDescent="0.25">
      <c r="A91" s="5"/>
      <c r="B91" s="5"/>
      <c r="C91" s="53"/>
      <c r="D91" s="63" t="s">
        <v>140</v>
      </c>
      <c r="E91" s="64">
        <f>E92+E93</f>
        <v>3200000</v>
      </c>
      <c r="F91" s="63" t="s">
        <v>1</v>
      </c>
      <c r="G91" t="s">
        <v>6</v>
      </c>
      <c r="H91" s="352">
        <v>127315316</v>
      </c>
      <c r="I91" s="352">
        <v>24060856</v>
      </c>
      <c r="J91" s="352">
        <v>30826137.449999999</v>
      </c>
      <c r="K91" s="352">
        <v>4710904.9000000004</v>
      </c>
      <c r="L91" s="352">
        <f>SUM(H91:K91)</f>
        <v>186913214.34999999</v>
      </c>
      <c r="M91" s="352">
        <v>25471300</v>
      </c>
      <c r="N91" s="352">
        <v>19401100</v>
      </c>
      <c r="O91" s="164">
        <f>L91+M91+N91</f>
        <v>231785614.34999999</v>
      </c>
    </row>
    <row r="92" spans="1:15" x14ac:dyDescent="0.25">
      <c r="A92" s="5"/>
      <c r="B92" s="5"/>
      <c r="C92" s="53"/>
      <c r="D92" s="65" t="s">
        <v>141</v>
      </c>
      <c r="E92" s="66">
        <v>1000000</v>
      </c>
      <c r="F92" s="67"/>
      <c r="H92" s="355">
        <f>E47+E50+E56+E84+E99+E103+E110+E122+E125+E138+E363+E364+E365+E380+E412</f>
        <v>127315316</v>
      </c>
      <c r="I92" s="355">
        <f>E108+E132+E217+E366+E381+E409</f>
        <v>24060856</v>
      </c>
      <c r="J92" s="355">
        <f>E152+E172+E378+E440</f>
        <v>30826137.449999999</v>
      </c>
      <c r="K92" s="355">
        <f>E466+E469</f>
        <v>4710904.9000000004</v>
      </c>
      <c r="L92" s="352">
        <f>SUM(H92:K92)</f>
        <v>186913214.34999999</v>
      </c>
      <c r="M92" s="367">
        <f>E43+E45+E413+E437+E441</f>
        <v>25471300</v>
      </c>
      <c r="N92" s="355">
        <f>E318+E382+E394+E410+E467</f>
        <v>19401100</v>
      </c>
      <c r="O92" s="164">
        <f>L92+M92+N92</f>
        <v>231785614.34999999</v>
      </c>
    </row>
    <row r="93" spans="1:15" x14ac:dyDescent="0.25">
      <c r="A93" s="5"/>
      <c r="B93" s="5"/>
      <c r="C93" s="53"/>
      <c r="D93" s="65" t="s">
        <v>142</v>
      </c>
      <c r="E93" s="66">
        <v>2200000</v>
      </c>
      <c r="F93" s="67"/>
      <c r="H93" s="355">
        <f>H91-H92</f>
        <v>0</v>
      </c>
      <c r="I93" s="355">
        <f t="shared" ref="I93:L93" si="2">I91-I92</f>
        <v>0</v>
      </c>
      <c r="J93" s="355">
        <f t="shared" si="2"/>
        <v>0</v>
      </c>
      <c r="K93" s="355">
        <f t="shared" si="2"/>
        <v>0</v>
      </c>
      <c r="L93" s="355">
        <f t="shared" si="2"/>
        <v>0</v>
      </c>
      <c r="M93" s="352">
        <f>M91-M92</f>
        <v>0</v>
      </c>
      <c r="N93" s="355">
        <f t="shared" ref="N93:O93" si="3">N91-N92</f>
        <v>0</v>
      </c>
      <c r="O93" s="355">
        <f t="shared" si="3"/>
        <v>0</v>
      </c>
    </row>
    <row r="94" spans="1:15" ht="30" hidden="1" x14ac:dyDescent="0.25">
      <c r="A94" s="3">
        <v>1</v>
      </c>
      <c r="B94" s="3">
        <v>2</v>
      </c>
      <c r="C94" s="34" t="s">
        <v>98</v>
      </c>
      <c r="D94" s="2" t="s">
        <v>24</v>
      </c>
      <c r="E94" s="35">
        <f>SUM(E95:E96)</f>
        <v>0</v>
      </c>
      <c r="F94" s="3" t="s">
        <v>4</v>
      </c>
      <c r="J94" s="164"/>
      <c r="K94" s="164"/>
      <c r="L94" s="164"/>
    </row>
    <row r="95" spans="1:15" hidden="1" x14ac:dyDescent="0.25">
      <c r="A95" s="3"/>
      <c r="B95" s="3"/>
      <c r="C95" s="34"/>
      <c r="D95" s="65" t="s">
        <v>143</v>
      </c>
      <c r="E95" s="37">
        <v>0</v>
      </c>
      <c r="F95" s="36" t="s">
        <v>6</v>
      </c>
      <c r="J95" s="164"/>
      <c r="K95" s="164"/>
      <c r="L95" s="164"/>
    </row>
    <row r="96" spans="1:15" hidden="1" x14ac:dyDescent="0.25">
      <c r="A96" s="5"/>
      <c r="B96" s="5"/>
      <c r="C96" s="53"/>
      <c r="D96" s="65" t="s">
        <v>582</v>
      </c>
      <c r="E96" s="66"/>
      <c r="F96" s="67" t="s">
        <v>4</v>
      </c>
      <c r="H96" s="336">
        <f>E96*3%</f>
        <v>0</v>
      </c>
      <c r="J96" s="164"/>
      <c r="K96" s="164"/>
      <c r="L96" s="164"/>
    </row>
    <row r="97" spans="1:12" hidden="1" x14ac:dyDescent="0.25">
      <c r="A97" s="5"/>
      <c r="B97" s="5"/>
      <c r="C97" s="53"/>
      <c r="D97" s="276" t="s">
        <v>607</v>
      </c>
      <c r="E97" s="66"/>
      <c r="F97" s="67"/>
      <c r="J97" s="164"/>
      <c r="K97" s="164"/>
      <c r="L97" s="164"/>
    </row>
    <row r="98" spans="1:12" ht="30" x14ac:dyDescent="0.25">
      <c r="A98" s="68">
        <v>1</v>
      </c>
      <c r="B98" s="68">
        <v>3</v>
      </c>
      <c r="C98" s="68"/>
      <c r="D98" s="9" t="s">
        <v>26</v>
      </c>
      <c r="E98" s="33">
        <f>E99+E103+E108+E110</f>
        <v>21000000</v>
      </c>
      <c r="F98" s="69"/>
      <c r="J98" s="164"/>
      <c r="K98" s="164"/>
      <c r="L98" s="164"/>
    </row>
    <row r="99" spans="1:12" x14ac:dyDescent="0.25">
      <c r="A99" s="5">
        <v>1</v>
      </c>
      <c r="B99" s="5">
        <v>3</v>
      </c>
      <c r="C99" s="53" t="s">
        <v>85</v>
      </c>
      <c r="D99" s="70" t="s">
        <v>27</v>
      </c>
      <c r="E99" s="54">
        <f>SUM(E100:E102)</f>
        <v>3000000</v>
      </c>
      <c r="F99" s="357" t="s">
        <v>1</v>
      </c>
      <c r="J99" s="164"/>
      <c r="K99" s="164"/>
      <c r="L99" s="164"/>
    </row>
    <row r="100" spans="1:12" x14ac:dyDescent="0.25">
      <c r="A100" s="46"/>
      <c r="B100" s="46"/>
      <c r="C100" s="46"/>
      <c r="D100" s="71" t="s">
        <v>144</v>
      </c>
      <c r="E100" s="50">
        <v>1000000</v>
      </c>
      <c r="F100" s="72"/>
      <c r="J100" s="164"/>
      <c r="K100" s="164"/>
      <c r="L100" s="164"/>
    </row>
    <row r="101" spans="1:12" x14ac:dyDescent="0.25">
      <c r="A101" s="46"/>
      <c r="B101" s="46"/>
      <c r="C101" s="46"/>
      <c r="D101" s="71" t="s">
        <v>145</v>
      </c>
      <c r="E101" s="50">
        <v>1000000</v>
      </c>
      <c r="F101" s="72"/>
      <c r="J101" s="164"/>
      <c r="K101" s="164"/>
      <c r="L101" s="164"/>
    </row>
    <row r="102" spans="1:12" x14ac:dyDescent="0.25">
      <c r="A102" s="46"/>
      <c r="B102" s="46"/>
      <c r="C102" s="46"/>
      <c r="D102" s="71" t="s">
        <v>425</v>
      </c>
      <c r="E102" s="50">
        <v>1000000</v>
      </c>
      <c r="F102" s="72"/>
    </row>
    <row r="103" spans="1:12" x14ac:dyDescent="0.25">
      <c r="A103" s="5">
        <v>1</v>
      </c>
      <c r="B103" s="5">
        <v>3</v>
      </c>
      <c r="C103" s="53" t="s">
        <v>89</v>
      </c>
      <c r="D103" s="5" t="s">
        <v>28</v>
      </c>
      <c r="E103" s="54">
        <f>SUM(E104:E107)</f>
        <v>14000000</v>
      </c>
      <c r="F103" s="195" t="s">
        <v>1</v>
      </c>
    </row>
    <row r="104" spans="1:12" hidden="1" x14ac:dyDescent="0.25">
      <c r="A104" s="46"/>
      <c r="B104" s="46"/>
      <c r="C104" s="46"/>
      <c r="D104" s="42" t="s">
        <v>146</v>
      </c>
      <c r="E104" s="50">
        <v>0</v>
      </c>
      <c r="F104" s="42" t="s">
        <v>6</v>
      </c>
    </row>
    <row r="105" spans="1:12" hidden="1" x14ac:dyDescent="0.25">
      <c r="A105" s="46"/>
      <c r="B105" s="46"/>
      <c r="C105" s="46"/>
      <c r="D105" s="42" t="s">
        <v>128</v>
      </c>
      <c r="E105" s="50">
        <v>0</v>
      </c>
      <c r="F105" s="73"/>
    </row>
    <row r="106" spans="1:12" hidden="1" x14ac:dyDescent="0.25">
      <c r="A106" s="46"/>
      <c r="B106" s="46"/>
      <c r="C106" s="46"/>
      <c r="D106" s="42" t="s">
        <v>145</v>
      </c>
      <c r="E106" s="50">
        <v>0</v>
      </c>
      <c r="F106" s="48" t="s">
        <v>6</v>
      </c>
    </row>
    <row r="107" spans="1:12" x14ac:dyDescent="0.25">
      <c r="A107" s="46"/>
      <c r="B107" s="46"/>
      <c r="C107" s="46"/>
      <c r="D107" s="42" t="s">
        <v>147</v>
      </c>
      <c r="E107" s="50">
        <v>14000000</v>
      </c>
      <c r="F107" s="48" t="s">
        <v>1</v>
      </c>
      <c r="G107" s="186" t="s">
        <v>3</v>
      </c>
    </row>
    <row r="108" spans="1:12" x14ac:dyDescent="0.25">
      <c r="A108" s="3">
        <v>1</v>
      </c>
      <c r="B108" s="3">
        <v>3</v>
      </c>
      <c r="C108" s="34" t="s">
        <v>98</v>
      </c>
      <c r="D108" s="2" t="s">
        <v>29</v>
      </c>
      <c r="E108" s="35">
        <f>SUM(E109:E109)</f>
        <v>2000000</v>
      </c>
      <c r="F108" s="359" t="s">
        <v>2</v>
      </c>
    </row>
    <row r="109" spans="1:12" x14ac:dyDescent="0.25">
      <c r="A109" s="46"/>
      <c r="B109" s="46"/>
      <c r="C109" s="46"/>
      <c r="D109" s="42" t="s">
        <v>144</v>
      </c>
      <c r="E109" s="50">
        <v>2000000</v>
      </c>
      <c r="F109" s="74"/>
    </row>
    <row r="110" spans="1:12" x14ac:dyDescent="0.25">
      <c r="A110" s="3">
        <v>1</v>
      </c>
      <c r="B110" s="3">
        <v>3</v>
      </c>
      <c r="C110" s="34" t="s">
        <v>122</v>
      </c>
      <c r="D110" s="2" t="s">
        <v>30</v>
      </c>
      <c r="E110" s="35">
        <f>SUM(E111:E116)</f>
        <v>2000000</v>
      </c>
      <c r="F110" s="358" t="s">
        <v>1</v>
      </c>
    </row>
    <row r="111" spans="1:12" x14ac:dyDescent="0.25">
      <c r="A111" s="46"/>
      <c r="B111" s="46"/>
      <c r="C111" s="46"/>
      <c r="D111" s="42" t="s">
        <v>148</v>
      </c>
      <c r="E111" s="50">
        <v>2000000</v>
      </c>
      <c r="F111" s="74"/>
    </row>
    <row r="112" spans="1:12" hidden="1" x14ac:dyDescent="0.25">
      <c r="A112" s="46"/>
      <c r="B112" s="46"/>
      <c r="C112" s="46"/>
      <c r="D112" s="42"/>
      <c r="E112" s="50"/>
      <c r="F112" s="74"/>
    </row>
    <row r="113" spans="1:6" ht="15" hidden="1" customHeight="1" x14ac:dyDescent="0.25">
      <c r="A113" s="46"/>
      <c r="B113" s="46"/>
      <c r="C113" s="46"/>
      <c r="D113" s="46" t="s">
        <v>149</v>
      </c>
      <c r="E113" s="75">
        <v>0</v>
      </c>
      <c r="F113" s="46"/>
    </row>
    <row r="114" spans="1:6" ht="15" hidden="1" customHeight="1" x14ac:dyDescent="0.25">
      <c r="A114" s="46"/>
      <c r="B114" s="46"/>
      <c r="C114" s="46"/>
      <c r="D114" s="46" t="s">
        <v>145</v>
      </c>
      <c r="E114" s="75">
        <v>0</v>
      </c>
      <c r="F114" s="46"/>
    </row>
    <row r="115" spans="1:6" ht="15" hidden="1" customHeight="1" x14ac:dyDescent="0.25">
      <c r="A115" s="46"/>
      <c r="B115" s="46"/>
      <c r="C115" s="46"/>
      <c r="D115" s="46" t="s">
        <v>128</v>
      </c>
      <c r="E115" s="75">
        <v>0</v>
      </c>
      <c r="F115" s="46"/>
    </row>
    <row r="116" spans="1:6" ht="15" hidden="1" customHeight="1" x14ac:dyDescent="0.25">
      <c r="A116" s="46"/>
      <c r="B116" s="46"/>
      <c r="C116" s="46"/>
      <c r="D116" s="46" t="s">
        <v>129</v>
      </c>
      <c r="E116" s="75">
        <v>0</v>
      </c>
      <c r="F116" s="5"/>
    </row>
    <row r="117" spans="1:6" ht="15" hidden="1" customHeight="1" x14ac:dyDescent="0.25">
      <c r="A117" s="46"/>
      <c r="B117" s="46"/>
      <c r="C117" s="46"/>
      <c r="D117" s="46" t="s">
        <v>150</v>
      </c>
      <c r="E117" s="75">
        <v>0</v>
      </c>
      <c r="F117" s="5"/>
    </row>
    <row r="118" spans="1:6" ht="30" x14ac:dyDescent="0.25">
      <c r="A118" s="68">
        <v>1</v>
      </c>
      <c r="B118" s="68">
        <v>4</v>
      </c>
      <c r="C118" s="68"/>
      <c r="D118" s="9" t="s">
        <v>31</v>
      </c>
      <c r="E118" s="33">
        <f>E119+E122+E125+E132+E138+E141</f>
        <v>15500000</v>
      </c>
      <c r="F118" s="68"/>
    </row>
    <row r="119" spans="1:6" ht="30" hidden="1" x14ac:dyDescent="0.25">
      <c r="A119" s="3">
        <v>1</v>
      </c>
      <c r="B119" s="3">
        <v>4</v>
      </c>
      <c r="C119" s="34" t="s">
        <v>85</v>
      </c>
      <c r="D119" s="2" t="s">
        <v>32</v>
      </c>
      <c r="E119" s="35">
        <f>SUM(E120:E121)</f>
        <v>0</v>
      </c>
      <c r="F119" s="3" t="s">
        <v>0</v>
      </c>
    </row>
    <row r="120" spans="1:6" hidden="1" x14ac:dyDescent="0.25">
      <c r="A120" s="46"/>
      <c r="B120" s="46"/>
      <c r="C120" s="46"/>
      <c r="D120" s="48" t="s">
        <v>128</v>
      </c>
      <c r="E120" s="49"/>
      <c r="F120" s="48" t="s">
        <v>0</v>
      </c>
    </row>
    <row r="121" spans="1:6" hidden="1" x14ac:dyDescent="0.25">
      <c r="A121" s="46"/>
      <c r="B121" s="46"/>
      <c r="C121" s="46"/>
      <c r="D121" s="48" t="s">
        <v>151</v>
      </c>
      <c r="E121" s="49">
        <v>0</v>
      </c>
      <c r="F121" s="48" t="s">
        <v>1</v>
      </c>
    </row>
    <row r="122" spans="1:6" x14ac:dyDescent="0.25">
      <c r="A122" s="5">
        <v>1</v>
      </c>
      <c r="B122" s="5">
        <v>4</v>
      </c>
      <c r="C122" s="53" t="s">
        <v>89</v>
      </c>
      <c r="D122" s="5" t="s">
        <v>33</v>
      </c>
      <c r="E122" s="54">
        <f>SUM(E123:E124)</f>
        <v>3000000</v>
      </c>
      <c r="F122" s="195" t="s">
        <v>1</v>
      </c>
    </row>
    <row r="123" spans="1:6" x14ac:dyDescent="0.25">
      <c r="A123" s="5"/>
      <c r="B123" s="5"/>
      <c r="C123" s="53"/>
      <c r="D123" s="48" t="s">
        <v>128</v>
      </c>
      <c r="E123" s="49">
        <v>3000000</v>
      </c>
      <c r="F123" s="48" t="s">
        <v>1</v>
      </c>
    </row>
    <row r="124" spans="1:6" hidden="1" x14ac:dyDescent="0.25">
      <c r="A124" s="5"/>
      <c r="B124" s="5"/>
      <c r="C124" s="53"/>
      <c r="D124" s="48" t="s">
        <v>145</v>
      </c>
      <c r="E124" s="49">
        <v>0</v>
      </c>
      <c r="F124" s="48" t="s">
        <v>1</v>
      </c>
    </row>
    <row r="125" spans="1:6" ht="35.25" customHeight="1" x14ac:dyDescent="0.25">
      <c r="A125" s="3">
        <v>1</v>
      </c>
      <c r="B125" s="3">
        <v>4</v>
      </c>
      <c r="C125" s="34" t="s">
        <v>98</v>
      </c>
      <c r="D125" s="2" t="s">
        <v>34</v>
      </c>
      <c r="E125" s="35">
        <f>SUM(E126:E131)</f>
        <v>9500000</v>
      </c>
      <c r="F125" s="223" t="s">
        <v>1</v>
      </c>
    </row>
    <row r="126" spans="1:6" hidden="1" x14ac:dyDescent="0.25">
      <c r="A126" s="46"/>
      <c r="B126" s="46"/>
      <c r="C126" s="46"/>
      <c r="D126" s="42" t="s">
        <v>152</v>
      </c>
      <c r="E126" s="50">
        <v>0</v>
      </c>
      <c r="F126" s="42" t="s">
        <v>6</v>
      </c>
    </row>
    <row r="127" spans="1:6" x14ac:dyDescent="0.25">
      <c r="A127" s="46"/>
      <c r="B127" s="46"/>
      <c r="C127" s="46"/>
      <c r="D127" s="42" t="s">
        <v>128</v>
      </c>
      <c r="E127" s="50">
        <v>2000000</v>
      </c>
      <c r="F127" s="42" t="s">
        <v>1</v>
      </c>
    </row>
    <row r="128" spans="1:6" x14ac:dyDescent="0.25">
      <c r="A128" s="46"/>
      <c r="B128" s="46"/>
      <c r="C128" s="46"/>
      <c r="D128" s="42" t="s">
        <v>153</v>
      </c>
      <c r="E128" s="49">
        <v>6000000</v>
      </c>
      <c r="F128" s="42" t="s">
        <v>1</v>
      </c>
    </row>
    <row r="129" spans="1:7" x14ac:dyDescent="0.25">
      <c r="A129" s="46"/>
      <c r="B129" s="46"/>
      <c r="C129" s="46"/>
      <c r="D129" s="42" t="s">
        <v>154</v>
      </c>
      <c r="E129" s="49">
        <v>1500000</v>
      </c>
      <c r="F129" s="42" t="s">
        <v>1</v>
      </c>
    </row>
    <row r="130" spans="1:7" hidden="1" x14ac:dyDescent="0.25">
      <c r="A130" s="46"/>
      <c r="B130" s="46"/>
      <c r="C130" s="46"/>
      <c r="D130" s="42" t="s">
        <v>155</v>
      </c>
      <c r="E130" s="49">
        <v>0</v>
      </c>
      <c r="F130" s="42" t="s">
        <v>1</v>
      </c>
    </row>
    <row r="131" spans="1:7" hidden="1" x14ac:dyDescent="0.25">
      <c r="A131" s="46"/>
      <c r="B131" s="46"/>
      <c r="C131" s="46"/>
      <c r="D131" s="42" t="s">
        <v>129</v>
      </c>
      <c r="E131" s="49">
        <v>0</v>
      </c>
      <c r="F131" s="42" t="s">
        <v>9</v>
      </c>
    </row>
    <row r="132" spans="1:7" x14ac:dyDescent="0.25">
      <c r="A132" s="5">
        <v>1</v>
      </c>
      <c r="B132" s="5">
        <v>4</v>
      </c>
      <c r="C132" s="53" t="s">
        <v>109</v>
      </c>
      <c r="D132" s="5" t="s">
        <v>35</v>
      </c>
      <c r="E132" s="54">
        <f>SUM(E133:E137)</f>
        <v>1000000</v>
      </c>
      <c r="F132" s="362" t="s">
        <v>2</v>
      </c>
    </row>
    <row r="133" spans="1:7" hidden="1" x14ac:dyDescent="0.25">
      <c r="A133" s="46"/>
      <c r="B133" s="46"/>
      <c r="C133" s="46"/>
      <c r="D133" s="42" t="s">
        <v>157</v>
      </c>
      <c r="E133" s="51">
        <v>0</v>
      </c>
      <c r="F133" s="42" t="s">
        <v>0</v>
      </c>
      <c r="G133" s="173">
        <f>E133/12</f>
        <v>0</v>
      </c>
    </row>
    <row r="134" spans="1:7" hidden="1" x14ac:dyDescent="0.25">
      <c r="A134" s="46"/>
      <c r="B134" s="46"/>
      <c r="C134" s="46"/>
      <c r="D134" s="52" t="s">
        <v>158</v>
      </c>
      <c r="E134" s="50">
        <v>0</v>
      </c>
      <c r="F134" s="42" t="s">
        <v>6</v>
      </c>
    </row>
    <row r="135" spans="1:7" hidden="1" x14ac:dyDescent="0.25">
      <c r="A135" s="46"/>
      <c r="B135" s="46"/>
      <c r="C135" s="46"/>
      <c r="D135" s="42" t="s">
        <v>158</v>
      </c>
      <c r="E135" s="50">
        <v>0</v>
      </c>
      <c r="F135" s="42" t="s">
        <v>1</v>
      </c>
    </row>
    <row r="136" spans="1:7" x14ac:dyDescent="0.25">
      <c r="A136" s="46"/>
      <c r="B136" s="46"/>
      <c r="C136" s="46"/>
      <c r="D136" s="42" t="s">
        <v>128</v>
      </c>
      <c r="E136" s="50">
        <v>1000000</v>
      </c>
      <c r="F136" s="42" t="s">
        <v>2</v>
      </c>
    </row>
    <row r="137" spans="1:7" hidden="1" x14ac:dyDescent="0.25">
      <c r="A137" s="46"/>
      <c r="B137" s="46"/>
      <c r="C137" s="46"/>
      <c r="D137" s="42" t="s">
        <v>149</v>
      </c>
      <c r="E137" s="50">
        <v>0</v>
      </c>
      <c r="F137" s="42" t="s">
        <v>1</v>
      </c>
    </row>
    <row r="138" spans="1:7" ht="30" x14ac:dyDescent="0.25">
      <c r="A138" s="3">
        <v>1</v>
      </c>
      <c r="B138" s="3">
        <v>4</v>
      </c>
      <c r="C138" s="34" t="s">
        <v>159</v>
      </c>
      <c r="D138" s="2" t="s">
        <v>36</v>
      </c>
      <c r="E138" s="35">
        <f>SUM(E139:E140)</f>
        <v>2000000</v>
      </c>
      <c r="F138" s="358" t="s">
        <v>1</v>
      </c>
    </row>
    <row r="139" spans="1:7" x14ac:dyDescent="0.25">
      <c r="A139" s="46"/>
      <c r="B139" s="46"/>
      <c r="C139" s="46"/>
      <c r="D139" s="42" t="s">
        <v>128</v>
      </c>
      <c r="E139" s="50">
        <v>1000000</v>
      </c>
      <c r="F139" s="76"/>
    </row>
    <row r="140" spans="1:7" x14ac:dyDescent="0.25">
      <c r="A140" s="46"/>
      <c r="B140" s="46"/>
      <c r="C140" s="46"/>
      <c r="D140" s="42" t="s">
        <v>152</v>
      </c>
      <c r="E140" s="50">
        <v>1000000</v>
      </c>
      <c r="F140" s="76"/>
    </row>
    <row r="141" spans="1:7" hidden="1" x14ac:dyDescent="0.25">
      <c r="A141" s="5">
        <v>1</v>
      </c>
      <c r="B141" s="5">
        <v>4</v>
      </c>
      <c r="C141" s="53" t="s">
        <v>160</v>
      </c>
      <c r="D141" s="5" t="s">
        <v>37</v>
      </c>
      <c r="E141" s="54">
        <f>SUM(E142:E144)</f>
        <v>0</v>
      </c>
      <c r="F141" s="5" t="s">
        <v>0</v>
      </c>
    </row>
    <row r="142" spans="1:7" hidden="1" x14ac:dyDescent="0.25">
      <c r="A142" s="46"/>
      <c r="B142" s="46"/>
      <c r="C142" s="46"/>
      <c r="D142" s="46" t="s">
        <v>161</v>
      </c>
      <c r="E142" s="50"/>
      <c r="F142" s="46" t="s">
        <v>0</v>
      </c>
      <c r="G142" s="173">
        <f>E142/12</f>
        <v>0</v>
      </c>
    </row>
    <row r="143" spans="1:7" hidden="1" x14ac:dyDescent="0.25">
      <c r="A143" s="46"/>
      <c r="B143" s="46"/>
      <c r="C143" s="46"/>
      <c r="D143" s="77" t="s">
        <v>162</v>
      </c>
      <c r="E143" s="49">
        <v>0</v>
      </c>
      <c r="F143" s="77"/>
    </row>
    <row r="144" spans="1:7" hidden="1" x14ac:dyDescent="0.25">
      <c r="A144" s="46"/>
      <c r="B144" s="46"/>
      <c r="C144" s="46"/>
      <c r="D144" s="46" t="s">
        <v>129</v>
      </c>
      <c r="E144" s="75">
        <v>0</v>
      </c>
      <c r="F144" s="46" t="s">
        <v>6</v>
      </c>
    </row>
    <row r="145" spans="1:8" ht="37.5" hidden="1" customHeight="1" x14ac:dyDescent="0.25">
      <c r="A145" s="3">
        <v>1</v>
      </c>
      <c r="B145" s="3">
        <v>4</v>
      </c>
      <c r="C145" s="34" t="s">
        <v>163</v>
      </c>
      <c r="D145" s="78" t="s">
        <v>164</v>
      </c>
      <c r="E145" s="35">
        <f>E146</f>
        <v>0</v>
      </c>
      <c r="F145" s="3"/>
    </row>
    <row r="146" spans="1:8" hidden="1" x14ac:dyDescent="0.25">
      <c r="A146" s="46"/>
      <c r="B146" s="46"/>
      <c r="C146" s="46"/>
      <c r="D146" s="46" t="s">
        <v>165</v>
      </c>
      <c r="E146" s="75"/>
      <c r="F146" s="46"/>
    </row>
    <row r="147" spans="1:8" hidden="1" x14ac:dyDescent="0.25">
      <c r="A147" s="46"/>
      <c r="B147" s="46"/>
      <c r="C147" s="46"/>
      <c r="D147" s="46"/>
      <c r="E147" s="75"/>
      <c r="F147" s="46"/>
    </row>
    <row r="148" spans="1:8" x14ac:dyDescent="0.25">
      <c r="A148" s="8">
        <v>1</v>
      </c>
      <c r="B148" s="8">
        <v>5</v>
      </c>
      <c r="C148" s="8"/>
      <c r="D148" s="10" t="s">
        <v>38</v>
      </c>
      <c r="E148" s="57">
        <f>E149+E152+E158</f>
        <v>17500000</v>
      </c>
      <c r="F148" s="8"/>
      <c r="H148" s="164">
        <v>800000</v>
      </c>
    </row>
    <row r="149" spans="1:8" ht="29.25" hidden="1" customHeight="1" x14ac:dyDescent="0.25">
      <c r="A149" s="3">
        <v>1</v>
      </c>
      <c r="B149" s="3">
        <v>5</v>
      </c>
      <c r="C149" s="34" t="s">
        <v>98</v>
      </c>
      <c r="D149" s="2" t="s">
        <v>39</v>
      </c>
      <c r="E149" s="35">
        <f>SUM(E150:E151)</f>
        <v>0</v>
      </c>
      <c r="F149" s="3" t="s">
        <v>1</v>
      </c>
    </row>
    <row r="150" spans="1:8" hidden="1" x14ac:dyDescent="0.25">
      <c r="A150" s="46"/>
      <c r="B150" s="46"/>
      <c r="C150" s="46"/>
      <c r="D150" s="42" t="s">
        <v>144</v>
      </c>
      <c r="E150" s="50">
        <v>0</v>
      </c>
      <c r="F150" s="42"/>
    </row>
    <row r="151" spans="1:8" hidden="1" x14ac:dyDescent="0.25">
      <c r="A151" s="46"/>
      <c r="B151" s="46"/>
      <c r="C151" s="46"/>
      <c r="D151" s="42" t="s">
        <v>166</v>
      </c>
      <c r="E151" s="50">
        <v>0</v>
      </c>
      <c r="F151" s="42"/>
    </row>
    <row r="152" spans="1:8" x14ac:dyDescent="0.25">
      <c r="A152" s="5">
        <v>1</v>
      </c>
      <c r="B152" s="5">
        <v>5</v>
      </c>
      <c r="C152" s="53" t="s">
        <v>125</v>
      </c>
      <c r="D152" s="79" t="s">
        <v>40</v>
      </c>
      <c r="E152" s="64">
        <f>SUM(E153:E157)</f>
        <v>17500000</v>
      </c>
      <c r="F152" s="365" t="s">
        <v>674</v>
      </c>
      <c r="H152" s="164">
        <v>700000</v>
      </c>
    </row>
    <row r="153" spans="1:8" x14ac:dyDescent="0.25">
      <c r="A153" s="5"/>
      <c r="B153" s="5"/>
      <c r="C153" s="53"/>
      <c r="D153" s="42" t="s">
        <v>547</v>
      </c>
      <c r="E153" s="50">
        <v>5000000</v>
      </c>
      <c r="F153" s="63"/>
      <c r="H153" s="164">
        <v>700000</v>
      </c>
    </row>
    <row r="154" spans="1:8" hidden="1" x14ac:dyDescent="0.25">
      <c r="A154" s="5"/>
      <c r="B154" s="5"/>
      <c r="C154" s="53"/>
      <c r="D154" s="42" t="s">
        <v>544</v>
      </c>
      <c r="E154" s="50">
        <v>0</v>
      </c>
      <c r="F154" s="63"/>
    </row>
    <row r="155" spans="1:8" hidden="1" x14ac:dyDescent="0.25">
      <c r="A155" s="5"/>
      <c r="B155" s="5"/>
      <c r="C155" s="53"/>
      <c r="D155" s="42" t="s">
        <v>545</v>
      </c>
      <c r="E155" s="50">
        <v>0</v>
      </c>
      <c r="F155" s="63"/>
    </row>
    <row r="156" spans="1:8" x14ac:dyDescent="0.25">
      <c r="A156" s="5"/>
      <c r="B156" s="5"/>
      <c r="C156" s="53"/>
      <c r="D156" s="42" t="s">
        <v>546</v>
      </c>
      <c r="E156" s="50">
        <v>10000000</v>
      </c>
      <c r="F156" s="63"/>
      <c r="H156" s="164">
        <f>600000*3</f>
        <v>1800000</v>
      </c>
    </row>
    <row r="157" spans="1:8" x14ac:dyDescent="0.25">
      <c r="A157" s="5"/>
      <c r="B157" s="5"/>
      <c r="C157" s="53"/>
      <c r="D157" s="42" t="s">
        <v>167</v>
      </c>
      <c r="E157" s="50">
        <v>2500000</v>
      </c>
      <c r="F157" s="42"/>
      <c r="H157" s="164">
        <f>500000*12</f>
        <v>6000000</v>
      </c>
    </row>
    <row r="158" spans="1:8" hidden="1" x14ac:dyDescent="0.25">
      <c r="A158" s="3">
        <v>1</v>
      </c>
      <c r="B158" s="81">
        <v>5</v>
      </c>
      <c r="C158" s="82" t="s">
        <v>159</v>
      </c>
      <c r="D158" s="83" t="s">
        <v>168</v>
      </c>
      <c r="E158" s="84">
        <f>E159</f>
        <v>0</v>
      </c>
      <c r="F158" s="81" t="s">
        <v>169</v>
      </c>
    </row>
    <row r="159" spans="1:8" hidden="1" x14ac:dyDescent="0.25">
      <c r="A159" s="46"/>
      <c r="B159" s="85"/>
      <c r="C159" s="85"/>
      <c r="D159" s="86" t="s">
        <v>170</v>
      </c>
      <c r="E159" s="87">
        <v>0</v>
      </c>
      <c r="F159" s="85"/>
    </row>
    <row r="160" spans="1:8" x14ac:dyDescent="0.25">
      <c r="A160" s="11">
        <v>2</v>
      </c>
      <c r="B160" s="11"/>
      <c r="C160" s="11"/>
      <c r="D160" s="11" t="s">
        <v>41</v>
      </c>
      <c r="E160" s="88">
        <f>E161+E205+E261+E291+E322+E329+E343+E348</f>
        <v>8912754.3399999999</v>
      </c>
      <c r="F160" s="11"/>
      <c r="H160" s="164">
        <f>SUM(H148:H157)</f>
        <v>10000000</v>
      </c>
    </row>
    <row r="161" spans="1:8" x14ac:dyDescent="0.25">
      <c r="A161" s="8">
        <v>2</v>
      </c>
      <c r="B161" s="8">
        <v>1</v>
      </c>
      <c r="C161" s="8"/>
      <c r="D161" s="10" t="s">
        <v>42</v>
      </c>
      <c r="E161" s="57">
        <f>E162+E170+E172+E175+E179+E186+E189+E196+E203</f>
        <v>1912754.34</v>
      </c>
      <c r="F161" s="8"/>
    </row>
    <row r="162" spans="1:8" ht="36" hidden="1" customHeight="1" x14ac:dyDescent="0.25">
      <c r="A162" s="3">
        <v>2</v>
      </c>
      <c r="B162" s="3">
        <v>1</v>
      </c>
      <c r="C162" s="34" t="s">
        <v>85</v>
      </c>
      <c r="D162" s="2" t="s">
        <v>43</v>
      </c>
      <c r="E162" s="35">
        <f>SUM(E163:E166)</f>
        <v>0</v>
      </c>
      <c r="F162" s="2" t="s">
        <v>605</v>
      </c>
    </row>
    <row r="163" spans="1:8" hidden="1" x14ac:dyDescent="0.25">
      <c r="A163" s="46"/>
      <c r="B163" s="46"/>
      <c r="C163" s="46"/>
      <c r="D163" s="42" t="s">
        <v>171</v>
      </c>
      <c r="E163" s="50"/>
      <c r="F163" s="42" t="s">
        <v>3</v>
      </c>
      <c r="G163" s="173">
        <f>E163/12</f>
        <v>0</v>
      </c>
    </row>
    <row r="164" spans="1:8" hidden="1" x14ac:dyDescent="0.25">
      <c r="A164" s="46"/>
      <c r="B164" s="46"/>
      <c r="C164" s="46"/>
      <c r="D164" s="42" t="s">
        <v>172</v>
      </c>
      <c r="E164" s="50"/>
      <c r="F164" s="52" t="s">
        <v>9</v>
      </c>
      <c r="G164" s="173">
        <f>E164/12</f>
        <v>0</v>
      </c>
      <c r="H164" s="164" t="s">
        <v>3</v>
      </c>
    </row>
    <row r="165" spans="1:8" hidden="1" x14ac:dyDescent="0.25">
      <c r="A165" s="46"/>
      <c r="B165" s="46"/>
      <c r="C165" s="46"/>
      <c r="D165" s="42" t="s">
        <v>173</v>
      </c>
      <c r="E165" s="50"/>
      <c r="F165" s="42" t="s">
        <v>3</v>
      </c>
      <c r="G165" s="173">
        <f>E162-E164</f>
        <v>0</v>
      </c>
    </row>
    <row r="166" spans="1:8" hidden="1" x14ac:dyDescent="0.25">
      <c r="A166" s="46"/>
      <c r="B166" s="46"/>
      <c r="C166" s="46"/>
      <c r="D166" s="42" t="s">
        <v>174</v>
      </c>
      <c r="E166" s="50"/>
      <c r="F166" s="42" t="s">
        <v>3</v>
      </c>
    </row>
    <row r="167" spans="1:8" hidden="1" x14ac:dyDescent="0.25">
      <c r="A167" s="5">
        <v>2</v>
      </c>
      <c r="B167" s="5">
        <v>1</v>
      </c>
      <c r="C167" s="53" t="s">
        <v>89</v>
      </c>
      <c r="D167" s="5" t="s">
        <v>175</v>
      </c>
      <c r="E167" s="54"/>
      <c r="F167" s="5"/>
    </row>
    <row r="168" spans="1:8" hidden="1" x14ac:dyDescent="0.25">
      <c r="A168" s="5"/>
      <c r="B168" s="5"/>
      <c r="C168" s="53"/>
      <c r="D168" s="5"/>
      <c r="E168" s="54"/>
      <c r="F168" s="5"/>
    </row>
    <row r="169" spans="1:8" hidden="1" x14ac:dyDescent="0.25">
      <c r="A169" s="5"/>
      <c r="B169" s="5"/>
      <c r="C169" s="53"/>
      <c r="D169" s="5"/>
      <c r="E169" s="54"/>
      <c r="F169" s="5"/>
    </row>
    <row r="170" spans="1:8" hidden="1" x14ac:dyDescent="0.25">
      <c r="A170" s="89">
        <v>2</v>
      </c>
      <c r="B170" s="89">
        <v>1</v>
      </c>
      <c r="C170" s="90" t="s">
        <v>98</v>
      </c>
      <c r="D170" s="89" t="s">
        <v>176</v>
      </c>
      <c r="E170" s="91">
        <f>E171</f>
        <v>0</v>
      </c>
      <c r="F170" s="5" t="s">
        <v>3</v>
      </c>
    </row>
    <row r="171" spans="1:8" hidden="1" x14ac:dyDescent="0.25">
      <c r="A171" s="89"/>
      <c r="B171" s="89"/>
      <c r="C171" s="90"/>
      <c r="D171" s="48" t="s">
        <v>177</v>
      </c>
      <c r="E171" s="49">
        <v>0</v>
      </c>
      <c r="F171" s="5"/>
    </row>
    <row r="172" spans="1:8" ht="29.25" customHeight="1" x14ac:dyDescent="0.25">
      <c r="A172" s="3">
        <v>2</v>
      </c>
      <c r="B172" s="3">
        <v>1</v>
      </c>
      <c r="C172" s="34" t="s">
        <v>109</v>
      </c>
      <c r="D172" s="2" t="s">
        <v>44</v>
      </c>
      <c r="E172" s="35">
        <f>E173</f>
        <v>1912754.34</v>
      </c>
      <c r="F172" s="364" t="s">
        <v>674</v>
      </c>
    </row>
    <row r="173" spans="1:8" ht="18.75" customHeight="1" x14ac:dyDescent="0.25">
      <c r="A173" s="5"/>
      <c r="B173" s="5"/>
      <c r="C173" s="53"/>
      <c r="D173" s="71" t="s">
        <v>178</v>
      </c>
      <c r="E173" s="50">
        <v>1912754.34</v>
      </c>
      <c r="F173" s="92"/>
    </row>
    <row r="174" spans="1:8" hidden="1" x14ac:dyDescent="0.25">
      <c r="A174" s="5"/>
      <c r="B174" s="5"/>
      <c r="C174" s="53"/>
      <c r="D174" s="12"/>
      <c r="E174" s="54"/>
      <c r="F174" s="5"/>
    </row>
    <row r="175" spans="1:8" ht="30" hidden="1" x14ac:dyDescent="0.25">
      <c r="A175" s="3">
        <v>2</v>
      </c>
      <c r="B175" s="3">
        <v>1</v>
      </c>
      <c r="C175" s="34" t="s">
        <v>122</v>
      </c>
      <c r="D175" s="2" t="s">
        <v>45</v>
      </c>
      <c r="E175" s="35"/>
      <c r="F175" s="3" t="s">
        <v>6</v>
      </c>
    </row>
    <row r="176" spans="1:8" hidden="1" x14ac:dyDescent="0.25">
      <c r="A176" s="3"/>
      <c r="B176" s="3"/>
      <c r="C176" s="34"/>
      <c r="D176" s="207" t="s">
        <v>598</v>
      </c>
      <c r="E176" s="322"/>
      <c r="F176" s="227" t="s">
        <v>6</v>
      </c>
      <c r="G176" t="s">
        <v>3</v>
      </c>
    </row>
    <row r="177" spans="1:9" hidden="1" x14ac:dyDescent="0.25">
      <c r="A177" s="3"/>
      <c r="B177" s="3"/>
      <c r="C177" s="34"/>
      <c r="D177" s="43" t="s">
        <v>180</v>
      </c>
      <c r="E177" s="37">
        <v>0</v>
      </c>
      <c r="F177" s="36"/>
    </row>
    <row r="178" spans="1:9" hidden="1" x14ac:dyDescent="0.25">
      <c r="A178" s="3"/>
      <c r="B178" s="3"/>
      <c r="C178" s="34"/>
      <c r="D178" s="43" t="s">
        <v>181</v>
      </c>
      <c r="E178" s="37">
        <v>0</v>
      </c>
      <c r="F178" s="36"/>
    </row>
    <row r="179" spans="1:9" s="185" customFormat="1" ht="45" hidden="1" x14ac:dyDescent="0.25">
      <c r="A179" s="3">
        <v>2</v>
      </c>
      <c r="B179" s="3">
        <v>1</v>
      </c>
      <c r="C179" s="34" t="s">
        <v>125</v>
      </c>
      <c r="D179" s="2" t="s">
        <v>182</v>
      </c>
      <c r="E179" s="35"/>
      <c r="F179" s="3" t="s">
        <v>6</v>
      </c>
      <c r="H179" s="255"/>
      <c r="I179" s="255"/>
    </row>
    <row r="180" spans="1:9" hidden="1" x14ac:dyDescent="0.25">
      <c r="A180" s="3"/>
      <c r="B180" s="3"/>
      <c r="C180" s="34"/>
      <c r="D180" s="43" t="s">
        <v>562</v>
      </c>
      <c r="E180" s="40"/>
      <c r="F180" s="227" t="s">
        <v>6</v>
      </c>
      <c r="G180" t="s">
        <v>3</v>
      </c>
    </row>
    <row r="181" spans="1:9" hidden="1" x14ac:dyDescent="0.25">
      <c r="A181" s="3"/>
      <c r="B181" s="3"/>
      <c r="C181" s="34"/>
      <c r="D181" s="43" t="s">
        <v>184</v>
      </c>
      <c r="E181" s="37">
        <v>0</v>
      </c>
      <c r="F181" s="36"/>
    </row>
    <row r="182" spans="1:9" hidden="1" x14ac:dyDescent="0.25">
      <c r="A182" s="3"/>
      <c r="B182" s="3"/>
      <c r="C182" s="34"/>
      <c r="D182" s="43" t="s">
        <v>185</v>
      </c>
      <c r="E182" s="37"/>
      <c r="F182" s="36"/>
    </row>
    <row r="183" spans="1:9" hidden="1" x14ac:dyDescent="0.25">
      <c r="A183" s="3"/>
      <c r="B183" s="3"/>
      <c r="C183" s="34"/>
      <c r="D183" s="43" t="s">
        <v>186</v>
      </c>
      <c r="E183" s="37"/>
      <c r="F183" s="36"/>
    </row>
    <row r="184" spans="1:9" hidden="1" x14ac:dyDescent="0.25">
      <c r="A184" s="3"/>
      <c r="B184" s="3"/>
      <c r="C184" s="34"/>
      <c r="D184" s="43" t="s">
        <v>187</v>
      </c>
      <c r="E184" s="37"/>
      <c r="F184" s="36"/>
    </row>
    <row r="185" spans="1:9" hidden="1" x14ac:dyDescent="0.25">
      <c r="A185" s="3"/>
      <c r="B185" s="3"/>
      <c r="C185" s="34"/>
      <c r="D185" s="43" t="s">
        <v>408</v>
      </c>
      <c r="E185" s="37">
        <v>0</v>
      </c>
      <c r="F185" s="76"/>
    </row>
    <row r="186" spans="1:9" s="185" customFormat="1" ht="30" hidden="1" x14ac:dyDescent="0.25">
      <c r="A186" s="3">
        <v>2</v>
      </c>
      <c r="B186" s="3">
        <v>1</v>
      </c>
      <c r="C186" s="34" t="s">
        <v>159</v>
      </c>
      <c r="D186" s="2" t="s">
        <v>188</v>
      </c>
      <c r="E186" s="35">
        <f>SUM(E187:E188)</f>
        <v>0</v>
      </c>
      <c r="F186" s="3" t="s">
        <v>3</v>
      </c>
      <c r="H186" s="255"/>
      <c r="I186" s="255"/>
    </row>
    <row r="187" spans="1:9" hidden="1" x14ac:dyDescent="0.25">
      <c r="A187" s="3"/>
      <c r="B187" s="3"/>
      <c r="C187" s="34"/>
      <c r="D187" s="43" t="s">
        <v>189</v>
      </c>
      <c r="E187" s="37">
        <v>0</v>
      </c>
      <c r="F187" s="3"/>
    </row>
    <row r="188" spans="1:9" hidden="1" x14ac:dyDescent="0.25">
      <c r="A188" s="3"/>
      <c r="B188" s="3"/>
      <c r="C188" s="34"/>
      <c r="D188" s="43" t="s">
        <v>190</v>
      </c>
      <c r="E188" s="37">
        <v>0</v>
      </c>
      <c r="F188" s="3"/>
    </row>
    <row r="189" spans="1:9" hidden="1" x14ac:dyDescent="0.25">
      <c r="A189" s="5">
        <v>2</v>
      </c>
      <c r="B189" s="5">
        <v>1</v>
      </c>
      <c r="C189" s="53" t="s">
        <v>160</v>
      </c>
      <c r="D189" s="12" t="s">
        <v>46</v>
      </c>
      <c r="E189" s="54">
        <f>E190+E192+E193+E194+E195</f>
        <v>0</v>
      </c>
      <c r="F189" s="5" t="s">
        <v>3</v>
      </c>
    </row>
    <row r="190" spans="1:9" hidden="1" x14ac:dyDescent="0.25">
      <c r="A190" s="5"/>
      <c r="B190" s="5"/>
      <c r="C190" s="53"/>
      <c r="D190" s="71" t="s">
        <v>191</v>
      </c>
      <c r="E190" s="50"/>
      <c r="F190" s="5"/>
      <c r="H190" s="164">
        <f>E190/12</f>
        <v>0</v>
      </c>
      <c r="I190" s="164">
        <f>H190/2</f>
        <v>0</v>
      </c>
    </row>
    <row r="191" spans="1:9" hidden="1" x14ac:dyDescent="0.25">
      <c r="A191" s="5"/>
      <c r="B191" s="5"/>
      <c r="C191" s="53"/>
      <c r="D191" s="71" t="s">
        <v>192</v>
      </c>
      <c r="E191" s="50"/>
      <c r="F191" s="5"/>
    </row>
    <row r="192" spans="1:9" hidden="1" x14ac:dyDescent="0.25">
      <c r="A192" s="5"/>
      <c r="B192" s="5"/>
      <c r="C192" s="53"/>
      <c r="D192" s="71" t="s">
        <v>149</v>
      </c>
      <c r="E192" s="50"/>
      <c r="F192" s="5"/>
    </row>
    <row r="193" spans="1:8" ht="12.75" hidden="1" customHeight="1" x14ac:dyDescent="0.25">
      <c r="A193" s="5"/>
      <c r="B193" s="5"/>
      <c r="C193" s="53"/>
      <c r="D193" s="71" t="s">
        <v>193</v>
      </c>
      <c r="E193" s="50"/>
      <c r="F193" s="5"/>
    </row>
    <row r="194" spans="1:8" hidden="1" x14ac:dyDescent="0.25">
      <c r="A194" s="5"/>
      <c r="B194" s="5"/>
      <c r="C194" s="53"/>
      <c r="D194" s="71" t="s">
        <v>194</v>
      </c>
      <c r="E194" s="50"/>
      <c r="F194" s="5"/>
      <c r="H194" s="164">
        <f>E194/12</f>
        <v>0</v>
      </c>
    </row>
    <row r="195" spans="1:8" hidden="1" x14ac:dyDescent="0.25">
      <c r="A195" s="5"/>
      <c r="B195" s="5"/>
      <c r="C195" s="53"/>
      <c r="D195" s="71" t="s">
        <v>195</v>
      </c>
      <c r="E195" s="50"/>
      <c r="F195" s="5"/>
      <c r="H195" s="164">
        <f>E195/12</f>
        <v>0</v>
      </c>
    </row>
    <row r="196" spans="1:8" hidden="1" x14ac:dyDescent="0.25">
      <c r="A196" s="5">
        <v>2</v>
      </c>
      <c r="B196" s="5">
        <v>1</v>
      </c>
      <c r="C196" s="53" t="s">
        <v>196</v>
      </c>
      <c r="D196" s="12" t="s">
        <v>197</v>
      </c>
      <c r="E196" s="54">
        <f>SUM(E197:E200)</f>
        <v>0</v>
      </c>
      <c r="F196" s="5" t="s">
        <v>3</v>
      </c>
    </row>
    <row r="197" spans="1:8" hidden="1" x14ac:dyDescent="0.25">
      <c r="A197" s="5"/>
      <c r="B197" s="5"/>
      <c r="C197" s="53"/>
      <c r="D197" s="71" t="s">
        <v>548</v>
      </c>
      <c r="E197" s="51"/>
      <c r="F197" s="42"/>
    </row>
    <row r="198" spans="1:8" hidden="1" x14ac:dyDescent="0.25">
      <c r="A198" s="5"/>
      <c r="B198" s="5"/>
      <c r="C198" s="53"/>
      <c r="D198" s="71" t="s">
        <v>608</v>
      </c>
      <c r="E198" s="51"/>
      <c r="F198" s="42"/>
    </row>
    <row r="199" spans="1:8" hidden="1" x14ac:dyDescent="0.25">
      <c r="A199" s="5"/>
      <c r="B199" s="5"/>
      <c r="C199" s="53"/>
      <c r="D199" s="71" t="s">
        <v>549</v>
      </c>
      <c r="E199" s="51"/>
      <c r="F199" s="42"/>
    </row>
    <row r="200" spans="1:8" hidden="1" x14ac:dyDescent="0.25">
      <c r="A200" s="5"/>
      <c r="B200" s="5"/>
      <c r="C200" s="53"/>
      <c r="D200" s="71" t="s">
        <v>550</v>
      </c>
      <c r="E200" s="51"/>
      <c r="F200" s="42"/>
    </row>
    <row r="201" spans="1:8" hidden="1" x14ac:dyDescent="0.25">
      <c r="A201" s="5"/>
      <c r="B201" s="5"/>
      <c r="C201" s="53"/>
      <c r="D201" s="71"/>
      <c r="E201" s="54"/>
      <c r="F201" s="5"/>
    </row>
    <row r="202" spans="1:8" hidden="1" x14ac:dyDescent="0.25">
      <c r="A202" s="5"/>
      <c r="B202" s="5"/>
      <c r="C202" s="53"/>
      <c r="D202" s="71" t="s">
        <v>198</v>
      </c>
      <c r="E202" s="50">
        <v>0</v>
      </c>
      <c r="F202" s="5"/>
    </row>
    <row r="203" spans="1:8" hidden="1" x14ac:dyDescent="0.25">
      <c r="A203" s="5">
        <v>2</v>
      </c>
      <c r="B203" s="5">
        <v>1</v>
      </c>
      <c r="C203" s="53" t="s">
        <v>199</v>
      </c>
      <c r="D203" s="12" t="s">
        <v>200</v>
      </c>
      <c r="E203" s="54">
        <f>E204</f>
        <v>0</v>
      </c>
      <c r="F203" s="5" t="s">
        <v>0</v>
      </c>
    </row>
    <row r="204" spans="1:8" hidden="1" x14ac:dyDescent="0.25">
      <c r="A204" s="5"/>
      <c r="B204" s="5"/>
      <c r="C204" s="53"/>
      <c r="D204" s="71" t="s">
        <v>201</v>
      </c>
      <c r="E204" s="51"/>
      <c r="F204" s="195" t="s">
        <v>0</v>
      </c>
      <c r="G204" t="s">
        <v>3</v>
      </c>
      <c r="H204" s="164">
        <f>E204/500000</f>
        <v>0</v>
      </c>
    </row>
    <row r="205" spans="1:8" hidden="1" x14ac:dyDescent="0.25">
      <c r="A205" s="8">
        <v>2</v>
      </c>
      <c r="B205" s="8">
        <v>2</v>
      </c>
      <c r="C205" s="8"/>
      <c r="D205" s="6" t="s">
        <v>47</v>
      </c>
      <c r="E205" s="57">
        <f>E206+E210+E217+E220+E252+E254+E256</f>
        <v>2000000</v>
      </c>
      <c r="F205" s="8" t="s">
        <v>3</v>
      </c>
    </row>
    <row r="206" spans="1:8" hidden="1" x14ac:dyDescent="0.25">
      <c r="A206" s="5">
        <v>2</v>
      </c>
      <c r="B206" s="5">
        <v>2</v>
      </c>
      <c r="C206" s="53" t="s">
        <v>85</v>
      </c>
      <c r="D206" s="12" t="s">
        <v>202</v>
      </c>
      <c r="E206" s="54">
        <f>SUM(E207:E209)</f>
        <v>0</v>
      </c>
      <c r="F206" s="5" t="s">
        <v>604</v>
      </c>
    </row>
    <row r="207" spans="1:8" hidden="1" x14ac:dyDescent="0.25">
      <c r="A207" s="46"/>
      <c r="B207" s="46"/>
      <c r="C207" s="46"/>
      <c r="D207" s="222" t="s">
        <v>599</v>
      </c>
      <c r="E207" s="51"/>
      <c r="F207" s="52" t="s">
        <v>6</v>
      </c>
      <c r="G207" t="s">
        <v>3</v>
      </c>
    </row>
    <row r="208" spans="1:8" hidden="1" x14ac:dyDescent="0.25">
      <c r="A208" s="46"/>
      <c r="B208" s="46"/>
      <c r="C208" s="46"/>
      <c r="D208" s="71" t="s">
        <v>204</v>
      </c>
      <c r="E208" s="51">
        <v>0</v>
      </c>
      <c r="F208" s="42"/>
    </row>
    <row r="209" spans="1:8" hidden="1" x14ac:dyDescent="0.25">
      <c r="A209" s="46"/>
      <c r="B209" s="46"/>
      <c r="C209" s="46"/>
      <c r="D209" s="71" t="s">
        <v>205</v>
      </c>
      <c r="E209" s="50"/>
      <c r="F209" s="42" t="s">
        <v>3</v>
      </c>
      <c r="H209" s="164">
        <f>E209/12</f>
        <v>0</v>
      </c>
    </row>
    <row r="210" spans="1:8" hidden="1" x14ac:dyDescent="0.25">
      <c r="A210" s="5">
        <v>2</v>
      </c>
      <c r="B210" s="5">
        <v>2</v>
      </c>
      <c r="C210" s="53" t="s">
        <v>89</v>
      </c>
      <c r="D210" s="12" t="s">
        <v>48</v>
      </c>
      <c r="E210" s="54">
        <f>SUM(E211:E216)</f>
        <v>0</v>
      </c>
      <c r="F210" s="5" t="s">
        <v>3</v>
      </c>
    </row>
    <row r="211" spans="1:8" hidden="1" x14ac:dyDescent="0.25">
      <c r="A211" s="46"/>
      <c r="B211" s="46"/>
      <c r="C211" s="46"/>
      <c r="D211" s="71" t="s">
        <v>206</v>
      </c>
      <c r="E211" s="50"/>
      <c r="F211" s="42" t="s">
        <v>3</v>
      </c>
      <c r="H211" s="164">
        <f>E211/10000</f>
        <v>0</v>
      </c>
    </row>
    <row r="212" spans="1:8" hidden="1" x14ac:dyDescent="0.25">
      <c r="A212" s="46"/>
      <c r="B212" s="46"/>
      <c r="C212" s="46"/>
      <c r="D212" s="71" t="s">
        <v>402</v>
      </c>
      <c r="E212" s="50"/>
      <c r="F212" s="42" t="s">
        <v>3</v>
      </c>
      <c r="H212" s="164">
        <f>200000*5*12</f>
        <v>12000000</v>
      </c>
    </row>
    <row r="213" spans="1:8" hidden="1" x14ac:dyDescent="0.25">
      <c r="A213" s="97"/>
      <c r="B213" s="97"/>
      <c r="C213" s="97"/>
      <c r="D213" s="43" t="s">
        <v>207</v>
      </c>
      <c r="E213" s="37"/>
      <c r="F213" s="36" t="s">
        <v>3</v>
      </c>
    </row>
    <row r="214" spans="1:8" hidden="1" x14ac:dyDescent="0.25">
      <c r="A214" s="46"/>
      <c r="B214" s="46"/>
      <c r="C214" s="46"/>
      <c r="D214" s="98" t="s">
        <v>209</v>
      </c>
      <c r="E214" s="50"/>
      <c r="F214" s="42" t="s">
        <v>3</v>
      </c>
      <c r="H214" s="164">
        <f>E210-E211-E212</f>
        <v>0</v>
      </c>
    </row>
    <row r="215" spans="1:8" hidden="1" x14ac:dyDescent="0.25">
      <c r="A215" s="46"/>
      <c r="B215" s="46"/>
      <c r="C215" s="46"/>
      <c r="D215" s="98" t="s">
        <v>210</v>
      </c>
      <c r="E215" s="50"/>
      <c r="F215" s="42" t="s">
        <v>3</v>
      </c>
    </row>
    <row r="216" spans="1:8" ht="16.5" hidden="1" customHeight="1" x14ac:dyDescent="0.25">
      <c r="A216" s="46"/>
      <c r="B216" s="46"/>
      <c r="C216" s="46"/>
      <c r="D216" s="71" t="s">
        <v>211</v>
      </c>
      <c r="E216" s="50"/>
      <c r="F216" s="42" t="s">
        <v>3</v>
      </c>
      <c r="H216" s="164">
        <f>E216/12/50</f>
        <v>0</v>
      </c>
    </row>
    <row r="217" spans="1:8" x14ac:dyDescent="0.25">
      <c r="A217" s="5">
        <v>2</v>
      </c>
      <c r="B217" s="5">
        <v>2</v>
      </c>
      <c r="C217" s="53" t="s">
        <v>98</v>
      </c>
      <c r="D217" s="12" t="s">
        <v>49</v>
      </c>
      <c r="E217" s="54">
        <f>SUM(E218:E219)</f>
        <v>2000000</v>
      </c>
      <c r="F217" s="362" t="s">
        <v>2</v>
      </c>
    </row>
    <row r="218" spans="1:8" x14ac:dyDescent="0.25">
      <c r="A218" s="5"/>
      <c r="B218" s="5"/>
      <c r="C218" s="53"/>
      <c r="D218" s="71" t="s">
        <v>606</v>
      </c>
      <c r="E218" s="50">
        <v>2000000</v>
      </c>
      <c r="F218" s="42" t="s">
        <v>2</v>
      </c>
      <c r="G218" t="s">
        <v>3</v>
      </c>
      <c r="H218" s="164">
        <f>E218/40</f>
        <v>50000</v>
      </c>
    </row>
    <row r="219" spans="1:8" hidden="1" x14ac:dyDescent="0.25">
      <c r="A219" s="5"/>
      <c r="B219" s="5"/>
      <c r="C219" s="53"/>
      <c r="D219" s="71" t="s">
        <v>213</v>
      </c>
      <c r="E219" s="51">
        <v>0</v>
      </c>
      <c r="F219" s="52" t="s">
        <v>2</v>
      </c>
      <c r="G219" t="s">
        <v>3</v>
      </c>
    </row>
    <row r="220" spans="1:8" hidden="1" x14ac:dyDescent="0.25">
      <c r="A220" s="5">
        <v>2</v>
      </c>
      <c r="B220" s="5">
        <v>2</v>
      </c>
      <c r="C220" s="53" t="s">
        <v>109</v>
      </c>
      <c r="D220" s="12" t="s">
        <v>50</v>
      </c>
      <c r="E220" s="54">
        <f>E221+E227+E231+E232+E233+E234+E235+E240+E243+E247+E248+E249</f>
        <v>0</v>
      </c>
      <c r="F220" s="5" t="s">
        <v>3</v>
      </c>
      <c r="H220" s="164">
        <f>50*12</f>
        <v>600</v>
      </c>
    </row>
    <row r="221" spans="1:8" ht="30" hidden="1" x14ac:dyDescent="0.25">
      <c r="A221" s="5"/>
      <c r="B221" s="3"/>
      <c r="C221" s="34"/>
      <c r="D221" s="99" t="s">
        <v>554</v>
      </c>
      <c r="E221" s="100">
        <f>SUM(E222:E226)</f>
        <v>0</v>
      </c>
      <c r="F221" s="76" t="s">
        <v>3</v>
      </c>
    </row>
    <row r="222" spans="1:8" hidden="1" x14ac:dyDescent="0.25">
      <c r="A222" s="5"/>
      <c r="B222" s="3"/>
      <c r="C222" s="34"/>
      <c r="D222" s="101" t="s">
        <v>215</v>
      </c>
      <c r="E222" s="37"/>
      <c r="F222" s="36" t="s">
        <v>3</v>
      </c>
    </row>
    <row r="223" spans="1:8" hidden="1" x14ac:dyDescent="0.25">
      <c r="A223" s="5"/>
      <c r="B223" s="3"/>
      <c r="C223" s="34"/>
      <c r="D223" s="101" t="s">
        <v>551</v>
      </c>
      <c r="E223" s="37"/>
      <c r="F223" s="36" t="s">
        <v>3</v>
      </c>
    </row>
    <row r="224" spans="1:8" hidden="1" x14ac:dyDescent="0.25">
      <c r="A224" s="5"/>
      <c r="B224" s="3"/>
      <c r="C224" s="34"/>
      <c r="D224" s="101" t="s">
        <v>552</v>
      </c>
      <c r="E224" s="37"/>
      <c r="F224" s="36"/>
    </row>
    <row r="225" spans="1:6" hidden="1" x14ac:dyDescent="0.25">
      <c r="A225" s="5"/>
      <c r="B225" s="3"/>
      <c r="C225" s="34"/>
      <c r="D225" s="101" t="s">
        <v>553</v>
      </c>
      <c r="E225" s="37"/>
      <c r="F225" s="36"/>
    </row>
    <row r="226" spans="1:6" hidden="1" x14ac:dyDescent="0.25">
      <c r="A226" s="5"/>
      <c r="B226" s="3"/>
      <c r="C226" s="34"/>
      <c r="D226" s="101" t="s">
        <v>217</v>
      </c>
      <c r="E226" s="40">
        <v>0</v>
      </c>
      <c r="F226" s="36" t="s">
        <v>3</v>
      </c>
    </row>
    <row r="227" spans="1:6" hidden="1" x14ac:dyDescent="0.25">
      <c r="A227" s="5"/>
      <c r="B227" s="3"/>
      <c r="C227" s="34"/>
      <c r="D227" s="102" t="s">
        <v>218</v>
      </c>
      <c r="E227" s="100"/>
      <c r="F227" s="76" t="s">
        <v>3</v>
      </c>
    </row>
    <row r="228" spans="1:6" hidden="1" x14ac:dyDescent="0.25">
      <c r="A228" s="5"/>
      <c r="B228" s="3"/>
      <c r="C228" s="34"/>
      <c r="D228" s="101" t="s">
        <v>219</v>
      </c>
      <c r="E228" s="37"/>
      <c r="F228" s="36" t="s">
        <v>3</v>
      </c>
    </row>
    <row r="229" spans="1:6" hidden="1" x14ac:dyDescent="0.25">
      <c r="A229" s="5"/>
      <c r="B229" s="3"/>
      <c r="C229" s="34"/>
      <c r="D229" s="101" t="s">
        <v>220</v>
      </c>
      <c r="E229" s="37"/>
      <c r="F229" s="36" t="s">
        <v>3</v>
      </c>
    </row>
    <row r="230" spans="1:6" hidden="1" x14ac:dyDescent="0.25">
      <c r="A230" s="5"/>
      <c r="B230" s="3"/>
      <c r="C230" s="34"/>
      <c r="D230" s="101" t="s">
        <v>221</v>
      </c>
      <c r="E230" s="37"/>
      <c r="F230" s="36" t="s">
        <v>3</v>
      </c>
    </row>
    <row r="231" spans="1:6" hidden="1" x14ac:dyDescent="0.25">
      <c r="A231" s="5"/>
      <c r="B231" s="3"/>
      <c r="C231" s="34"/>
      <c r="D231" s="102" t="s">
        <v>222</v>
      </c>
      <c r="E231" s="100"/>
      <c r="F231" s="76" t="s">
        <v>3</v>
      </c>
    </row>
    <row r="232" spans="1:6" hidden="1" x14ac:dyDescent="0.25">
      <c r="A232" s="5"/>
      <c r="B232" s="3"/>
      <c r="C232" s="34"/>
      <c r="D232" s="102" t="s">
        <v>223</v>
      </c>
      <c r="E232" s="100"/>
      <c r="F232" s="76" t="s">
        <v>3</v>
      </c>
    </row>
    <row r="233" spans="1:6" hidden="1" x14ac:dyDescent="0.25">
      <c r="A233" s="5"/>
      <c r="B233" s="3"/>
      <c r="C233" s="34"/>
      <c r="D233" s="102" t="s">
        <v>224</v>
      </c>
      <c r="E233" s="100"/>
      <c r="F233" s="76" t="s">
        <v>3</v>
      </c>
    </row>
    <row r="234" spans="1:6" hidden="1" x14ac:dyDescent="0.25">
      <c r="A234" s="5"/>
      <c r="B234" s="3"/>
      <c r="C234" s="34"/>
      <c r="D234" s="102" t="s">
        <v>225</v>
      </c>
      <c r="E234" s="100"/>
      <c r="F234" s="76" t="s">
        <v>3</v>
      </c>
    </row>
    <row r="235" spans="1:6" hidden="1" x14ac:dyDescent="0.25">
      <c r="A235" s="5"/>
      <c r="B235" s="3"/>
      <c r="C235" s="34"/>
      <c r="D235" s="102" t="s">
        <v>226</v>
      </c>
      <c r="E235" s="100"/>
      <c r="F235" s="76" t="s">
        <v>3</v>
      </c>
    </row>
    <row r="236" spans="1:6" hidden="1" x14ac:dyDescent="0.25">
      <c r="A236" s="5"/>
      <c r="B236" s="3"/>
      <c r="C236" s="34"/>
      <c r="D236" s="101" t="s">
        <v>227</v>
      </c>
      <c r="E236" s="37"/>
      <c r="F236" s="36" t="s">
        <v>3</v>
      </c>
    </row>
    <row r="237" spans="1:6" hidden="1" x14ac:dyDescent="0.25">
      <c r="A237" s="5"/>
      <c r="B237" s="3"/>
      <c r="C237" s="34"/>
      <c r="D237" s="101" t="s">
        <v>228</v>
      </c>
      <c r="E237" s="37"/>
      <c r="F237" s="36" t="s">
        <v>3</v>
      </c>
    </row>
    <row r="238" spans="1:6" hidden="1" x14ac:dyDescent="0.25">
      <c r="A238" s="5"/>
      <c r="B238" s="3"/>
      <c r="C238" s="34"/>
      <c r="D238" s="101" t="s">
        <v>229</v>
      </c>
      <c r="E238" s="37"/>
      <c r="F238" s="36" t="s">
        <v>3</v>
      </c>
    </row>
    <row r="239" spans="1:6" hidden="1" x14ac:dyDescent="0.25">
      <c r="A239" s="53"/>
      <c r="B239" s="3"/>
      <c r="C239" s="34"/>
      <c r="D239" s="101" t="s">
        <v>230</v>
      </c>
      <c r="E239" s="37"/>
      <c r="F239" s="36" t="s">
        <v>3</v>
      </c>
    </row>
    <row r="240" spans="1:6" ht="30" hidden="1" x14ac:dyDescent="0.25">
      <c r="A240" s="53"/>
      <c r="B240" s="3"/>
      <c r="C240" s="34"/>
      <c r="D240" s="102" t="s">
        <v>231</v>
      </c>
      <c r="E240" s="100"/>
      <c r="F240" s="76" t="s">
        <v>3</v>
      </c>
    </row>
    <row r="241" spans="1:9" hidden="1" x14ac:dyDescent="0.25">
      <c r="A241" s="53"/>
      <c r="B241" s="3"/>
      <c r="C241" s="34"/>
      <c r="D241" s="101" t="s">
        <v>232</v>
      </c>
      <c r="E241" s="37"/>
      <c r="F241" s="36" t="s">
        <v>3</v>
      </c>
    </row>
    <row r="242" spans="1:9" hidden="1" x14ac:dyDescent="0.25">
      <c r="A242" s="53"/>
      <c r="B242" s="3"/>
      <c r="C242" s="34"/>
      <c r="D242" s="101" t="s">
        <v>233</v>
      </c>
      <c r="E242" s="37"/>
      <c r="F242" s="36" t="s">
        <v>3</v>
      </c>
    </row>
    <row r="243" spans="1:9" hidden="1" x14ac:dyDescent="0.25">
      <c r="A243" s="5"/>
      <c r="B243" s="3"/>
      <c r="C243" s="34"/>
      <c r="D243" s="99" t="s">
        <v>234</v>
      </c>
      <c r="E243" s="100"/>
      <c r="F243" s="76" t="s">
        <v>3</v>
      </c>
    </row>
    <row r="244" spans="1:9" hidden="1" x14ac:dyDescent="0.25">
      <c r="A244" s="53"/>
      <c r="B244" s="3"/>
      <c r="C244" s="34"/>
      <c r="D244" s="101" t="s">
        <v>209</v>
      </c>
      <c r="E244" s="37"/>
      <c r="F244" s="36" t="s">
        <v>3</v>
      </c>
    </row>
    <row r="245" spans="1:9" hidden="1" x14ac:dyDescent="0.25">
      <c r="A245" s="53"/>
      <c r="B245" s="3"/>
      <c r="C245" s="34"/>
      <c r="D245" s="101" t="s">
        <v>235</v>
      </c>
      <c r="E245" s="37"/>
      <c r="F245" s="36" t="s">
        <v>3</v>
      </c>
    </row>
    <row r="246" spans="1:9" hidden="1" x14ac:dyDescent="0.25">
      <c r="A246" s="5"/>
      <c r="B246" s="3"/>
      <c r="C246" s="34"/>
      <c r="D246" s="101" t="s">
        <v>236</v>
      </c>
      <c r="E246" s="37"/>
      <c r="F246" s="36" t="s">
        <v>3</v>
      </c>
    </row>
    <row r="247" spans="1:9" ht="30" hidden="1" x14ac:dyDescent="0.25">
      <c r="A247" s="5"/>
      <c r="B247" s="3"/>
      <c r="C247" s="34"/>
      <c r="D247" s="102" t="s">
        <v>237</v>
      </c>
      <c r="E247" s="100"/>
      <c r="F247" s="76" t="s">
        <v>3</v>
      </c>
    </row>
    <row r="248" spans="1:9" ht="30" hidden="1" x14ac:dyDescent="0.25">
      <c r="A248" s="5"/>
      <c r="B248" s="3"/>
      <c r="C248" s="34"/>
      <c r="D248" s="102" t="s">
        <v>238</v>
      </c>
      <c r="E248" s="100"/>
      <c r="F248" s="76" t="s">
        <v>3</v>
      </c>
    </row>
    <row r="249" spans="1:9" hidden="1" x14ac:dyDescent="0.25">
      <c r="A249" s="5"/>
      <c r="B249" s="3"/>
      <c r="C249" s="34"/>
      <c r="D249" s="99" t="s">
        <v>239</v>
      </c>
      <c r="E249" s="100">
        <f>SUM(E250:E251)</f>
        <v>0</v>
      </c>
      <c r="F249" s="76" t="s">
        <v>3</v>
      </c>
    </row>
    <row r="250" spans="1:9" hidden="1" x14ac:dyDescent="0.25">
      <c r="A250" s="5"/>
      <c r="B250" s="5"/>
      <c r="C250" s="53"/>
      <c r="D250" s="71" t="s">
        <v>212</v>
      </c>
      <c r="E250" s="50">
        <v>0</v>
      </c>
      <c r="F250" s="42" t="s">
        <v>3</v>
      </c>
    </row>
    <row r="251" spans="1:9" hidden="1" x14ac:dyDescent="0.25">
      <c r="A251" s="5"/>
      <c r="B251" s="5"/>
      <c r="C251" s="53"/>
      <c r="D251" s="71" t="s">
        <v>210</v>
      </c>
      <c r="E251" s="50">
        <v>0</v>
      </c>
      <c r="F251" s="42" t="s">
        <v>3</v>
      </c>
    </row>
    <row r="252" spans="1:9" hidden="1" x14ac:dyDescent="0.25">
      <c r="A252" s="5">
        <v>2</v>
      </c>
      <c r="B252" s="5">
        <v>2</v>
      </c>
      <c r="C252" s="53" t="s">
        <v>125</v>
      </c>
      <c r="D252" s="12" t="s">
        <v>51</v>
      </c>
      <c r="E252" s="54">
        <f>E253</f>
        <v>0</v>
      </c>
      <c r="F252" s="5" t="s">
        <v>3</v>
      </c>
    </row>
    <row r="253" spans="1:9" hidden="1" x14ac:dyDescent="0.25">
      <c r="A253" s="46"/>
      <c r="B253" s="46"/>
      <c r="C253" s="46"/>
      <c r="D253" s="71" t="s">
        <v>240</v>
      </c>
      <c r="E253" s="50"/>
      <c r="F253" s="42" t="s">
        <v>3</v>
      </c>
      <c r="H253" s="164">
        <f>E253/15/12</f>
        <v>0</v>
      </c>
      <c r="I253" s="164">
        <f>H253*12</f>
        <v>0</v>
      </c>
    </row>
    <row r="254" spans="1:9" hidden="1" x14ac:dyDescent="0.25">
      <c r="A254" s="5">
        <v>2</v>
      </c>
      <c r="B254" s="5">
        <v>2</v>
      </c>
      <c r="C254" s="53" t="s">
        <v>160</v>
      </c>
      <c r="D254" s="12" t="s">
        <v>241</v>
      </c>
      <c r="E254" s="54">
        <f>E255</f>
        <v>0</v>
      </c>
      <c r="F254" s="5" t="s">
        <v>9</v>
      </c>
      <c r="I254" s="164">
        <f>I253*6%</f>
        <v>0</v>
      </c>
    </row>
    <row r="255" spans="1:9" hidden="1" x14ac:dyDescent="0.25">
      <c r="A255" s="5"/>
      <c r="B255" s="5"/>
      <c r="C255" s="53"/>
      <c r="D255" s="98" t="s">
        <v>208</v>
      </c>
      <c r="E255" s="323"/>
      <c r="F255" s="52" t="s">
        <v>9</v>
      </c>
      <c r="G255" t="s">
        <v>3</v>
      </c>
      <c r="H255" s="164">
        <f>15*12</f>
        <v>180</v>
      </c>
    </row>
    <row r="256" spans="1:9" s="185" customFormat="1" ht="30" hidden="1" x14ac:dyDescent="0.25">
      <c r="A256" s="3">
        <v>2</v>
      </c>
      <c r="B256" s="3">
        <v>2</v>
      </c>
      <c r="C256" s="34" t="s">
        <v>196</v>
      </c>
      <c r="D256" s="2" t="s">
        <v>242</v>
      </c>
      <c r="E256" s="35">
        <f>E257+E260</f>
        <v>0</v>
      </c>
      <c r="F256" s="3" t="s">
        <v>9</v>
      </c>
      <c r="H256" s="255"/>
      <c r="I256" s="255"/>
    </row>
    <row r="257" spans="1:9" hidden="1" x14ac:dyDescent="0.25">
      <c r="A257" s="3"/>
      <c r="B257" s="3"/>
      <c r="C257" s="34"/>
      <c r="D257" s="43" t="s">
        <v>243</v>
      </c>
      <c r="E257" s="40"/>
      <c r="F257" s="227" t="s">
        <v>9</v>
      </c>
      <c r="G257" t="s">
        <v>3</v>
      </c>
    </row>
    <row r="258" spans="1:9" hidden="1" x14ac:dyDescent="0.25">
      <c r="A258" s="3"/>
      <c r="B258" s="3"/>
      <c r="C258" s="34"/>
      <c r="D258" s="98" t="s">
        <v>412</v>
      </c>
      <c r="E258" s="50">
        <v>0</v>
      </c>
      <c r="F258" s="42"/>
    </row>
    <row r="259" spans="1:9" hidden="1" x14ac:dyDescent="0.25">
      <c r="A259" s="3"/>
      <c r="B259" s="3"/>
      <c r="C259" s="34"/>
      <c r="D259" s="98" t="s">
        <v>411</v>
      </c>
      <c r="E259" s="50">
        <v>0</v>
      </c>
      <c r="F259" s="42"/>
    </row>
    <row r="260" spans="1:9" hidden="1" x14ac:dyDescent="0.25">
      <c r="A260" s="5"/>
      <c r="B260" s="5"/>
      <c r="C260" s="53"/>
      <c r="D260" s="43" t="s">
        <v>413</v>
      </c>
      <c r="E260" s="37">
        <v>0</v>
      </c>
      <c r="F260" s="42" t="s">
        <v>3</v>
      </c>
    </row>
    <row r="261" spans="1:9" hidden="1" x14ac:dyDescent="0.25">
      <c r="A261" s="8">
        <v>2</v>
      </c>
      <c r="B261" s="8">
        <v>3</v>
      </c>
      <c r="C261" s="8"/>
      <c r="D261" s="6" t="s">
        <v>244</v>
      </c>
      <c r="E261" s="57">
        <f>E262+E264+E265+E267+E269+E276+E280+E283+E287+E289</f>
        <v>0</v>
      </c>
      <c r="F261" s="8"/>
    </row>
    <row r="262" spans="1:9" s="185" customFormat="1" hidden="1" x14ac:dyDescent="0.25">
      <c r="A262" s="89">
        <v>2</v>
      </c>
      <c r="B262" s="89">
        <v>3</v>
      </c>
      <c r="C262" s="90" t="s">
        <v>85</v>
      </c>
      <c r="D262" s="17" t="s">
        <v>245</v>
      </c>
      <c r="E262" s="91">
        <f>E263</f>
        <v>0</v>
      </c>
      <c r="F262" s="89" t="s">
        <v>3</v>
      </c>
      <c r="H262" s="255"/>
      <c r="I262" s="255"/>
    </row>
    <row r="263" spans="1:9" ht="30" hidden="1" x14ac:dyDescent="0.25">
      <c r="A263" s="89"/>
      <c r="B263" s="89"/>
      <c r="C263" s="90"/>
      <c r="D263" s="103" t="s">
        <v>246</v>
      </c>
      <c r="E263" s="104"/>
      <c r="F263" s="105" t="s">
        <v>3</v>
      </c>
    </row>
    <row r="264" spans="1:9" hidden="1" x14ac:dyDescent="0.25">
      <c r="A264" s="5">
        <v>2</v>
      </c>
      <c r="B264" s="5">
        <v>3</v>
      </c>
      <c r="C264" s="53" t="s">
        <v>89</v>
      </c>
      <c r="D264" s="12" t="s">
        <v>247</v>
      </c>
      <c r="E264" s="54"/>
      <c r="F264" s="5"/>
    </row>
    <row r="265" spans="1:9" hidden="1" x14ac:dyDescent="0.25">
      <c r="A265" s="5">
        <v>2</v>
      </c>
      <c r="B265" s="5">
        <v>3</v>
      </c>
      <c r="C265" s="53" t="s">
        <v>98</v>
      </c>
      <c r="D265" s="12" t="s">
        <v>248</v>
      </c>
      <c r="E265" s="54">
        <f>SUM(E266)</f>
        <v>0</v>
      </c>
      <c r="F265" s="5" t="s">
        <v>3</v>
      </c>
    </row>
    <row r="266" spans="1:9" ht="30" hidden="1" x14ac:dyDescent="0.25">
      <c r="A266" s="5"/>
      <c r="B266" s="5"/>
      <c r="C266" s="53"/>
      <c r="D266" s="43" t="s">
        <v>249</v>
      </c>
      <c r="E266" s="37">
        <v>0</v>
      </c>
      <c r="F266" s="5"/>
    </row>
    <row r="267" spans="1:9" hidden="1" x14ac:dyDescent="0.25">
      <c r="A267" s="5">
        <v>2</v>
      </c>
      <c r="B267" s="5">
        <v>3</v>
      </c>
      <c r="C267" s="53" t="s">
        <v>122</v>
      </c>
      <c r="D267" s="12" t="s">
        <v>250</v>
      </c>
      <c r="E267" s="196"/>
      <c r="F267" s="5"/>
    </row>
    <row r="268" spans="1:9" s="204" customFormat="1" hidden="1" x14ac:dyDescent="0.25">
      <c r="A268" s="42"/>
      <c r="B268" s="42"/>
      <c r="C268" s="55"/>
      <c r="D268" s="71" t="s">
        <v>572</v>
      </c>
      <c r="E268" s="51"/>
      <c r="F268" s="42"/>
      <c r="H268" s="337"/>
      <c r="I268" s="337"/>
    </row>
    <row r="269" spans="1:9" ht="30" hidden="1" x14ac:dyDescent="0.25">
      <c r="A269" s="3">
        <v>2</v>
      </c>
      <c r="B269" s="3">
        <v>3</v>
      </c>
      <c r="C269" s="34" t="s">
        <v>199</v>
      </c>
      <c r="D269" s="2" t="s">
        <v>251</v>
      </c>
      <c r="E269" s="35">
        <f>SUM(E270:E275)</f>
        <v>0</v>
      </c>
      <c r="F269" s="3" t="s">
        <v>3</v>
      </c>
    </row>
    <row r="270" spans="1:9" hidden="1" x14ac:dyDescent="0.25">
      <c r="A270" s="5"/>
      <c r="B270" s="5"/>
      <c r="C270" s="53"/>
      <c r="D270" s="43" t="s">
        <v>574</v>
      </c>
      <c r="E270" s="40">
        <v>0</v>
      </c>
      <c r="F270" s="5"/>
    </row>
    <row r="271" spans="1:9" hidden="1" x14ac:dyDescent="0.25">
      <c r="A271" s="5"/>
      <c r="B271" s="5"/>
      <c r="C271" s="53"/>
      <c r="D271" s="43" t="s">
        <v>567</v>
      </c>
      <c r="E271" s="40">
        <v>0</v>
      </c>
      <c r="F271" s="5"/>
    </row>
    <row r="272" spans="1:9" ht="30" hidden="1" x14ac:dyDescent="0.25">
      <c r="A272" s="5"/>
      <c r="B272" s="5"/>
      <c r="C272" s="53"/>
      <c r="D272" s="43" t="s">
        <v>664</v>
      </c>
      <c r="E272" s="322"/>
      <c r="F272" s="5"/>
      <c r="G272" t="s">
        <v>607</v>
      </c>
      <c r="H272" s="336">
        <f>E272*3%</f>
        <v>0</v>
      </c>
      <c r="I272" s="164">
        <f>E272*30%</f>
        <v>0</v>
      </c>
    </row>
    <row r="273" spans="1:9" hidden="1" x14ac:dyDescent="0.25">
      <c r="A273" s="5"/>
      <c r="B273" s="5"/>
      <c r="C273" s="53"/>
      <c r="D273" s="207" t="s">
        <v>607</v>
      </c>
      <c r="E273" s="40"/>
      <c r="F273" s="5"/>
      <c r="H273" s="336"/>
      <c r="I273" s="164">
        <f>E272-I272</f>
        <v>0</v>
      </c>
    </row>
    <row r="274" spans="1:9" hidden="1" x14ac:dyDescent="0.25">
      <c r="A274" s="5"/>
      <c r="B274" s="5"/>
      <c r="C274" s="53"/>
      <c r="D274" s="207" t="s">
        <v>580</v>
      </c>
      <c r="E274" s="326">
        <v>0</v>
      </c>
      <c r="F274" s="5"/>
    </row>
    <row r="275" spans="1:9" hidden="1" x14ac:dyDescent="0.25">
      <c r="A275" s="5"/>
      <c r="B275" s="5"/>
      <c r="C275" s="53"/>
      <c r="D275" s="43" t="s">
        <v>568</v>
      </c>
      <c r="E275" s="50"/>
      <c r="F275" s="5"/>
    </row>
    <row r="276" spans="1:9" ht="30" hidden="1" x14ac:dyDescent="0.25">
      <c r="A276" s="3">
        <v>2</v>
      </c>
      <c r="B276" s="3">
        <v>3</v>
      </c>
      <c r="C276" s="34" t="s">
        <v>163</v>
      </c>
      <c r="D276" s="2" t="s">
        <v>252</v>
      </c>
      <c r="E276" s="35">
        <f>SUM(E277:E279)</f>
        <v>0</v>
      </c>
      <c r="F276" s="3" t="s">
        <v>3</v>
      </c>
    </row>
    <row r="277" spans="1:9" s="204" customFormat="1" hidden="1" x14ac:dyDescent="0.25">
      <c r="A277" s="36"/>
      <c r="B277" s="36"/>
      <c r="C277" s="38"/>
      <c r="D277" s="43" t="s">
        <v>613</v>
      </c>
      <c r="E277" s="40"/>
      <c r="F277" s="36"/>
      <c r="H277" s="338">
        <f>E277*3%</f>
        <v>0</v>
      </c>
      <c r="I277" s="337"/>
    </row>
    <row r="278" spans="1:9" hidden="1" x14ac:dyDescent="0.25">
      <c r="A278" s="3"/>
      <c r="B278" s="3"/>
      <c r="C278" s="34"/>
      <c r="D278" s="207" t="s">
        <v>607</v>
      </c>
      <c r="E278" s="35"/>
      <c r="F278" s="3"/>
      <c r="H278" s="164">
        <f>M5*20%</f>
        <v>172670800</v>
      </c>
    </row>
    <row r="279" spans="1:9" hidden="1" x14ac:dyDescent="0.25">
      <c r="A279" s="3"/>
      <c r="B279" s="3"/>
      <c r="C279" s="34"/>
      <c r="D279" s="43" t="s">
        <v>592</v>
      </c>
      <c r="E279" s="37">
        <v>0</v>
      </c>
      <c r="F279" s="5"/>
    </row>
    <row r="280" spans="1:9" ht="30" hidden="1" x14ac:dyDescent="0.25">
      <c r="A280" s="3">
        <v>2</v>
      </c>
      <c r="B280" s="3">
        <v>3</v>
      </c>
      <c r="C280" s="34" t="s">
        <v>254</v>
      </c>
      <c r="D280" s="2" t="s">
        <v>255</v>
      </c>
      <c r="E280" s="35">
        <f>SUM(E281:E282)</f>
        <v>0</v>
      </c>
      <c r="F280" s="3" t="s">
        <v>3</v>
      </c>
      <c r="H280" s="164">
        <f>E280+E309+E422+E424</f>
        <v>0</v>
      </c>
    </row>
    <row r="281" spans="1:9" hidden="1" x14ac:dyDescent="0.25">
      <c r="A281" s="5"/>
      <c r="B281" s="5"/>
      <c r="C281" s="53"/>
      <c r="D281" s="277" t="s">
        <v>665</v>
      </c>
      <c r="E281" s="325"/>
      <c r="F281" s="42"/>
      <c r="G281" s="274">
        <f>E281*3%</f>
        <v>0</v>
      </c>
      <c r="H281" s="164">
        <f>(E280+E309+E422+E424)/M5*100</f>
        <v>0</v>
      </c>
      <c r="I281" s="343">
        <f>M5*20%</f>
        <v>172670800</v>
      </c>
    </row>
    <row r="282" spans="1:9" hidden="1" x14ac:dyDescent="0.25">
      <c r="A282" s="5"/>
      <c r="B282" s="5"/>
      <c r="C282" s="53"/>
      <c r="D282" s="207" t="s">
        <v>607</v>
      </c>
      <c r="E282" s="40"/>
      <c r="F282" s="5"/>
      <c r="I282" s="164">
        <f>E281*30%</f>
        <v>0</v>
      </c>
    </row>
    <row r="283" spans="1:9" ht="45" hidden="1" x14ac:dyDescent="0.25">
      <c r="A283" s="3">
        <v>2</v>
      </c>
      <c r="B283" s="3">
        <v>3</v>
      </c>
      <c r="C283" s="34" t="s">
        <v>257</v>
      </c>
      <c r="D283" s="2" t="s">
        <v>258</v>
      </c>
      <c r="E283" s="35">
        <f>SUM(E284:E286)</f>
        <v>0</v>
      </c>
      <c r="F283" s="3" t="s">
        <v>6</v>
      </c>
    </row>
    <row r="284" spans="1:9" ht="30" hidden="1" x14ac:dyDescent="0.25">
      <c r="A284" s="3"/>
      <c r="B284" s="3"/>
      <c r="C284" s="34"/>
      <c r="D284" s="43" t="s">
        <v>566</v>
      </c>
      <c r="E284" s="40">
        <v>0</v>
      </c>
      <c r="F284" s="3"/>
    </row>
    <row r="285" spans="1:9" hidden="1" x14ac:dyDescent="0.25">
      <c r="A285" s="3"/>
      <c r="B285" s="3"/>
      <c r="C285" s="34"/>
      <c r="D285" s="43" t="s">
        <v>573</v>
      </c>
      <c r="E285" s="40"/>
      <c r="F285" s="3"/>
    </row>
    <row r="286" spans="1:9" hidden="1" x14ac:dyDescent="0.25">
      <c r="A286" s="5"/>
      <c r="B286" s="5"/>
      <c r="C286" s="53"/>
      <c r="D286" s="71" t="s">
        <v>571</v>
      </c>
      <c r="E286" s="51">
        <v>0</v>
      </c>
      <c r="F286" s="5"/>
    </row>
    <row r="287" spans="1:9" ht="30" hidden="1" x14ac:dyDescent="0.25">
      <c r="A287" s="3">
        <v>2</v>
      </c>
      <c r="B287" s="3">
        <v>3</v>
      </c>
      <c r="C287" s="34" t="s">
        <v>261</v>
      </c>
      <c r="D287" s="2" t="s">
        <v>262</v>
      </c>
      <c r="E287" s="35">
        <f>E288</f>
        <v>0</v>
      </c>
      <c r="F287" s="3" t="s">
        <v>3</v>
      </c>
    </row>
    <row r="288" spans="1:9" ht="30" hidden="1" x14ac:dyDescent="0.25">
      <c r="A288" s="3"/>
      <c r="B288" s="3"/>
      <c r="C288" s="34"/>
      <c r="D288" s="43" t="s">
        <v>263</v>
      </c>
      <c r="E288" s="37">
        <v>0</v>
      </c>
      <c r="F288" s="3"/>
    </row>
    <row r="289" spans="1:9" ht="30" hidden="1" x14ac:dyDescent="0.25">
      <c r="A289" s="3">
        <v>2</v>
      </c>
      <c r="B289" s="3">
        <v>3</v>
      </c>
      <c r="C289" s="34" t="s">
        <v>264</v>
      </c>
      <c r="D289" s="2" t="s">
        <v>265</v>
      </c>
      <c r="E289" s="35">
        <f>SUM(E290:E290)</f>
        <v>0</v>
      </c>
      <c r="F289" s="3" t="s">
        <v>3</v>
      </c>
    </row>
    <row r="290" spans="1:9" hidden="1" x14ac:dyDescent="0.25">
      <c r="A290" s="3"/>
      <c r="B290" s="3"/>
      <c r="C290" s="34"/>
      <c r="D290" s="43" t="s">
        <v>266</v>
      </c>
      <c r="E290" s="40">
        <v>0</v>
      </c>
      <c r="F290" s="3"/>
    </row>
    <row r="291" spans="1:9" x14ac:dyDescent="0.25">
      <c r="A291" s="8">
        <v>2</v>
      </c>
      <c r="B291" s="8">
        <v>4</v>
      </c>
      <c r="C291" s="8"/>
      <c r="D291" s="6" t="s">
        <v>267</v>
      </c>
      <c r="E291" s="57">
        <f>E292+E294+E296+E303+E305+E308+E311+E313+E318</f>
        <v>5000000</v>
      </c>
      <c r="F291" s="8"/>
      <c r="I291" s="164">
        <f>E281-I282</f>
        <v>0</v>
      </c>
    </row>
    <row r="292" spans="1:9" ht="30" hidden="1" x14ac:dyDescent="0.25">
      <c r="A292" s="3">
        <v>2</v>
      </c>
      <c r="B292" s="3">
        <v>4</v>
      </c>
      <c r="C292" s="34" t="s">
        <v>85</v>
      </c>
      <c r="D292" s="2" t="s">
        <v>268</v>
      </c>
      <c r="E292" s="221">
        <f>SUM(E293:E293)</f>
        <v>0</v>
      </c>
      <c r="F292" s="3" t="s">
        <v>3</v>
      </c>
    </row>
    <row r="293" spans="1:9" ht="30" hidden="1" x14ac:dyDescent="0.25">
      <c r="A293" s="5"/>
      <c r="B293" s="3"/>
      <c r="C293" s="34"/>
      <c r="D293" s="43" t="s">
        <v>269</v>
      </c>
      <c r="E293" s="37">
        <v>0</v>
      </c>
      <c r="F293" s="3" t="s">
        <v>3</v>
      </c>
    </row>
    <row r="294" spans="1:9" hidden="1" x14ac:dyDescent="0.25">
      <c r="A294" s="3">
        <v>2</v>
      </c>
      <c r="B294" s="3">
        <v>4</v>
      </c>
      <c r="C294" s="34" t="s">
        <v>98</v>
      </c>
      <c r="D294" s="2" t="s">
        <v>270</v>
      </c>
      <c r="E294" s="35">
        <f>SUM(E295:E295)</f>
        <v>0</v>
      </c>
      <c r="F294" s="3" t="s">
        <v>3</v>
      </c>
    </row>
    <row r="295" spans="1:9" hidden="1" x14ac:dyDescent="0.25">
      <c r="A295" s="5"/>
      <c r="B295" s="3"/>
      <c r="C295" s="34"/>
      <c r="D295" s="43" t="s">
        <v>271</v>
      </c>
      <c r="E295" s="37">
        <v>0</v>
      </c>
      <c r="F295" s="3"/>
    </row>
    <row r="296" spans="1:9" s="185" customFormat="1" hidden="1" x14ac:dyDescent="0.25">
      <c r="A296" s="3">
        <v>2</v>
      </c>
      <c r="B296" s="3">
        <v>4</v>
      </c>
      <c r="C296" s="34" t="s">
        <v>159</v>
      </c>
      <c r="D296" s="2" t="s">
        <v>272</v>
      </c>
      <c r="E296" s="35">
        <f>SUM(E297:E302)</f>
        <v>0</v>
      </c>
      <c r="F296" s="3" t="s">
        <v>3</v>
      </c>
      <c r="H296" s="255"/>
      <c r="I296" s="255"/>
    </row>
    <row r="297" spans="1:9" hidden="1" x14ac:dyDescent="0.25">
      <c r="A297" s="5"/>
      <c r="B297" s="5"/>
      <c r="C297" s="53"/>
      <c r="D297" s="71" t="s">
        <v>556</v>
      </c>
      <c r="E297" s="50"/>
      <c r="F297" s="3"/>
    </row>
    <row r="298" spans="1:9" hidden="1" x14ac:dyDescent="0.25">
      <c r="A298" s="5"/>
      <c r="B298" s="5"/>
      <c r="C298" s="53"/>
      <c r="D298" s="71" t="s">
        <v>555</v>
      </c>
      <c r="E298" s="50"/>
      <c r="F298" s="46"/>
      <c r="H298" s="164">
        <v>1500000</v>
      </c>
    </row>
    <row r="299" spans="1:9" hidden="1" x14ac:dyDescent="0.25">
      <c r="A299" s="5"/>
      <c r="B299" s="5"/>
      <c r="C299" s="53"/>
      <c r="D299" s="277" t="s">
        <v>616</v>
      </c>
      <c r="E299" s="50"/>
      <c r="F299" s="46" t="s">
        <v>666</v>
      </c>
      <c r="H299" s="164">
        <v>1300000</v>
      </c>
    </row>
    <row r="300" spans="1:9" hidden="1" x14ac:dyDescent="0.25">
      <c r="A300" s="5"/>
      <c r="B300" s="5"/>
      <c r="C300" s="53"/>
      <c r="D300" s="71" t="s">
        <v>276</v>
      </c>
      <c r="E300" s="50"/>
      <c r="F300" s="46"/>
      <c r="H300" s="164">
        <v>1100000</v>
      </c>
    </row>
    <row r="301" spans="1:9" hidden="1" x14ac:dyDescent="0.25">
      <c r="A301" s="5"/>
      <c r="B301" s="5"/>
      <c r="C301" s="53"/>
      <c r="D301" s="71"/>
      <c r="E301" s="50"/>
      <c r="F301" s="46"/>
      <c r="H301" s="164">
        <v>1100000</v>
      </c>
    </row>
    <row r="302" spans="1:9" hidden="1" x14ac:dyDescent="0.25">
      <c r="A302" s="3"/>
      <c r="B302" s="3"/>
      <c r="C302" s="34"/>
      <c r="D302" s="43" t="s">
        <v>416</v>
      </c>
      <c r="E302" s="37"/>
      <c r="F302" s="97"/>
      <c r="H302" s="164">
        <v>1000000</v>
      </c>
    </row>
    <row r="303" spans="1:9" hidden="1" x14ac:dyDescent="0.25">
      <c r="A303" s="5">
        <v>2</v>
      </c>
      <c r="B303" s="5">
        <v>4</v>
      </c>
      <c r="C303" s="53" t="s">
        <v>160</v>
      </c>
      <c r="D303" s="12" t="s">
        <v>280</v>
      </c>
      <c r="E303" s="54">
        <f>SUM(E304:E304)</f>
        <v>0</v>
      </c>
      <c r="F303" s="5" t="s">
        <v>3</v>
      </c>
      <c r="H303" s="164">
        <f>SUM(H298:H302)</f>
        <v>6000000</v>
      </c>
    </row>
    <row r="304" spans="1:9" hidden="1" x14ac:dyDescent="0.25">
      <c r="A304" s="5"/>
      <c r="B304" s="5"/>
      <c r="C304" s="53"/>
      <c r="D304" s="71" t="s">
        <v>281</v>
      </c>
      <c r="E304" s="50">
        <v>0</v>
      </c>
      <c r="F304" s="5"/>
      <c r="H304" s="164">
        <f>H303*12</f>
        <v>72000000</v>
      </c>
    </row>
    <row r="305" spans="1:9" ht="30" hidden="1" x14ac:dyDescent="0.25">
      <c r="A305" s="3">
        <v>2</v>
      </c>
      <c r="B305" s="3">
        <v>4</v>
      </c>
      <c r="C305" s="34">
        <v>11</v>
      </c>
      <c r="D305" s="2" t="s">
        <v>282</v>
      </c>
      <c r="E305" s="35">
        <f>SUM(E306:E307)</f>
        <v>0</v>
      </c>
      <c r="F305" s="3" t="s">
        <v>3</v>
      </c>
    </row>
    <row r="306" spans="1:9" hidden="1" x14ac:dyDescent="0.25">
      <c r="A306" s="3"/>
      <c r="B306" s="3"/>
      <c r="C306" s="34"/>
      <c r="D306" s="71" t="s">
        <v>564</v>
      </c>
      <c r="E306" s="51">
        <v>0</v>
      </c>
      <c r="F306" s="42" t="s">
        <v>3</v>
      </c>
      <c r="G306">
        <v>187000000</v>
      </c>
    </row>
    <row r="307" spans="1:9" hidden="1" x14ac:dyDescent="0.25">
      <c r="A307" s="3"/>
      <c r="B307" s="3"/>
      <c r="C307" s="34"/>
      <c r="D307" s="71" t="s">
        <v>283</v>
      </c>
      <c r="E307" s="50">
        <v>0</v>
      </c>
      <c r="F307" s="42" t="s">
        <v>4</v>
      </c>
    </row>
    <row r="308" spans="1:9" ht="30" hidden="1" x14ac:dyDescent="0.25">
      <c r="A308" s="3">
        <v>2</v>
      </c>
      <c r="B308" s="3">
        <v>4</v>
      </c>
      <c r="C308" s="106">
        <v>12</v>
      </c>
      <c r="D308" s="107" t="s">
        <v>284</v>
      </c>
      <c r="E308" s="35">
        <f>E309</f>
        <v>0</v>
      </c>
      <c r="F308" s="3" t="s">
        <v>3</v>
      </c>
    </row>
    <row r="309" spans="1:9" hidden="1" x14ac:dyDescent="0.25">
      <c r="A309" s="5"/>
      <c r="B309" s="5"/>
      <c r="C309" s="108"/>
      <c r="D309" s="43" t="s">
        <v>670</v>
      </c>
      <c r="E309" s="322"/>
      <c r="F309" s="92"/>
      <c r="G309" s="173">
        <f>E309/1300</f>
        <v>0</v>
      </c>
    </row>
    <row r="310" spans="1:9" hidden="1" x14ac:dyDescent="0.25">
      <c r="A310" s="3">
        <v>2</v>
      </c>
      <c r="B310" s="3">
        <v>4</v>
      </c>
      <c r="C310" s="34" t="s">
        <v>286</v>
      </c>
      <c r="D310" s="2" t="s">
        <v>287</v>
      </c>
      <c r="E310" s="109"/>
      <c r="F310" s="97"/>
    </row>
    <row r="311" spans="1:9" ht="30" hidden="1" x14ac:dyDescent="0.25">
      <c r="A311" s="3">
        <v>2</v>
      </c>
      <c r="B311" s="3">
        <v>4</v>
      </c>
      <c r="C311" s="34" t="s">
        <v>257</v>
      </c>
      <c r="D311" s="2" t="s">
        <v>288</v>
      </c>
      <c r="E311" s="35">
        <f>E312</f>
        <v>0</v>
      </c>
      <c r="F311" s="3" t="s">
        <v>3</v>
      </c>
    </row>
    <row r="312" spans="1:9" hidden="1" x14ac:dyDescent="0.25">
      <c r="A312" s="5"/>
      <c r="B312" s="5"/>
      <c r="C312" s="53"/>
      <c r="D312" s="43" t="s">
        <v>289</v>
      </c>
      <c r="E312" s="37">
        <v>0</v>
      </c>
      <c r="F312" s="92"/>
    </row>
    <row r="313" spans="1:9" s="185" customFormat="1" ht="30" hidden="1" x14ac:dyDescent="0.25">
      <c r="A313" s="3">
        <v>2</v>
      </c>
      <c r="B313" s="3">
        <v>4</v>
      </c>
      <c r="C313" s="34" t="s">
        <v>261</v>
      </c>
      <c r="D313" s="2" t="s">
        <v>290</v>
      </c>
      <c r="E313" s="35">
        <f>SUM(E314:E316)</f>
        <v>0</v>
      </c>
      <c r="F313" s="3" t="s">
        <v>3</v>
      </c>
      <c r="H313" s="255"/>
      <c r="I313" s="255"/>
    </row>
    <row r="314" spans="1:9" hidden="1" x14ac:dyDescent="0.25">
      <c r="A314" s="3"/>
      <c r="B314" s="3"/>
      <c r="C314" s="34"/>
      <c r="D314" s="43" t="s">
        <v>587</v>
      </c>
      <c r="E314" s="322"/>
      <c r="F314" s="36" t="s">
        <v>3</v>
      </c>
      <c r="G314" s="173">
        <f>E314*11%</f>
        <v>0</v>
      </c>
      <c r="H314" s="164">
        <f>119000000+G314</f>
        <v>119000000</v>
      </c>
      <c r="I314" s="336">
        <f>E314*3%</f>
        <v>0</v>
      </c>
    </row>
    <row r="315" spans="1:9" hidden="1" x14ac:dyDescent="0.25">
      <c r="A315" s="5"/>
      <c r="B315" s="5"/>
      <c r="C315" s="53"/>
      <c r="D315" s="222" t="s">
        <v>590</v>
      </c>
      <c r="E315" s="50">
        <v>0</v>
      </c>
      <c r="F315" s="42"/>
    </row>
    <row r="316" spans="1:9" hidden="1" x14ac:dyDescent="0.25">
      <c r="A316" s="5"/>
      <c r="B316" s="5"/>
      <c r="C316" s="53"/>
      <c r="D316" s="222" t="s">
        <v>607</v>
      </c>
      <c r="E316" s="51"/>
      <c r="F316" s="42" t="s">
        <v>3</v>
      </c>
    </row>
    <row r="317" spans="1:9" hidden="1" x14ac:dyDescent="0.25">
      <c r="A317" s="5"/>
      <c r="B317" s="5"/>
      <c r="C317" s="53"/>
      <c r="D317" s="71"/>
      <c r="E317" s="64"/>
      <c r="F317" s="5"/>
    </row>
    <row r="318" spans="1:9" ht="30" x14ac:dyDescent="0.25">
      <c r="A318" s="3">
        <v>2</v>
      </c>
      <c r="B318" s="3">
        <v>4</v>
      </c>
      <c r="C318" s="34" t="s">
        <v>264</v>
      </c>
      <c r="D318" s="110" t="s">
        <v>292</v>
      </c>
      <c r="E318" s="45">
        <f>E319</f>
        <v>5000000</v>
      </c>
      <c r="F318" s="370" t="s">
        <v>429</v>
      </c>
    </row>
    <row r="319" spans="1:9" s="263" customFormat="1" x14ac:dyDescent="0.25">
      <c r="A319" s="48"/>
      <c r="B319" s="48"/>
      <c r="C319" s="62"/>
      <c r="D319" s="120" t="s">
        <v>589</v>
      </c>
      <c r="E319" s="49">
        <v>5000000</v>
      </c>
      <c r="F319" s="48"/>
      <c r="G319" s="263" t="s">
        <v>3</v>
      </c>
      <c r="H319" s="339"/>
      <c r="I319" s="339"/>
    </row>
    <row r="320" spans="1:9" hidden="1" x14ac:dyDescent="0.25">
      <c r="A320" s="5"/>
      <c r="B320" s="5"/>
      <c r="C320" s="53"/>
      <c r="D320" s="111"/>
      <c r="E320" s="112"/>
      <c r="F320" s="113"/>
    </row>
    <row r="321" spans="1:9" hidden="1" x14ac:dyDescent="0.25">
      <c r="A321" s="5"/>
      <c r="B321" s="5"/>
      <c r="C321" s="53"/>
      <c r="D321" s="111"/>
      <c r="E321" s="112"/>
      <c r="F321" s="113"/>
    </row>
    <row r="322" spans="1:9" hidden="1" x14ac:dyDescent="0.25">
      <c r="A322" s="10">
        <v>2</v>
      </c>
      <c r="B322" s="10">
        <v>5</v>
      </c>
      <c r="C322" s="10"/>
      <c r="D322" s="114" t="s">
        <v>294</v>
      </c>
      <c r="E322" s="206">
        <f>E323+E326</f>
        <v>0</v>
      </c>
      <c r="F322" s="92"/>
    </row>
    <row r="323" spans="1:9" s="185" customFormat="1" hidden="1" x14ac:dyDescent="0.25">
      <c r="A323" s="92">
        <v>2</v>
      </c>
      <c r="B323" s="5">
        <v>5</v>
      </c>
      <c r="C323" s="53" t="s">
        <v>89</v>
      </c>
      <c r="D323" s="5" t="s">
        <v>295</v>
      </c>
      <c r="E323" s="54">
        <f>SUM(E324:E325)</f>
        <v>0</v>
      </c>
      <c r="F323" s="5" t="s">
        <v>9</v>
      </c>
      <c r="H323" s="255"/>
      <c r="I323" s="255"/>
    </row>
    <row r="324" spans="1:9" hidden="1" x14ac:dyDescent="0.25">
      <c r="A324" s="92"/>
      <c r="B324" s="92"/>
      <c r="C324" s="116"/>
      <c r="D324" s="42" t="s">
        <v>296</v>
      </c>
      <c r="E324" s="50"/>
      <c r="F324" s="42" t="s">
        <v>9</v>
      </c>
      <c r="G324" t="s">
        <v>3</v>
      </c>
    </row>
    <row r="325" spans="1:9" hidden="1" x14ac:dyDescent="0.25">
      <c r="A325" s="92"/>
      <c r="B325" s="92"/>
      <c r="C325" s="116"/>
      <c r="D325" s="42" t="s">
        <v>297</v>
      </c>
      <c r="E325" s="50"/>
      <c r="F325" s="42" t="s">
        <v>9</v>
      </c>
      <c r="G325" t="s">
        <v>3</v>
      </c>
    </row>
    <row r="326" spans="1:9" s="185" customFormat="1" ht="30" hidden="1" x14ac:dyDescent="0.25">
      <c r="A326" s="5">
        <v>2</v>
      </c>
      <c r="B326" s="5">
        <v>5</v>
      </c>
      <c r="C326" s="53" t="s">
        <v>98</v>
      </c>
      <c r="D326" s="187" t="s">
        <v>298</v>
      </c>
      <c r="E326" s="35">
        <f>E327</f>
        <v>0</v>
      </c>
      <c r="F326" s="3" t="s">
        <v>3</v>
      </c>
      <c r="H326" s="255"/>
      <c r="I326" s="255"/>
    </row>
    <row r="327" spans="1:9" hidden="1" x14ac:dyDescent="0.25">
      <c r="A327" s="92"/>
      <c r="B327" s="92"/>
      <c r="C327" s="92"/>
      <c r="D327" s="71" t="s">
        <v>299</v>
      </c>
      <c r="E327" s="37"/>
      <c r="F327" s="36" t="s">
        <v>3</v>
      </c>
    </row>
    <row r="328" spans="1:9" hidden="1" x14ac:dyDescent="0.25">
      <c r="A328" s="92"/>
      <c r="B328" s="92"/>
      <c r="C328" s="92"/>
      <c r="D328" s="71"/>
      <c r="E328" s="50"/>
      <c r="F328" s="42"/>
    </row>
    <row r="329" spans="1:9" hidden="1" x14ac:dyDescent="0.25">
      <c r="A329" s="117">
        <v>2</v>
      </c>
      <c r="B329" s="117">
        <v>6</v>
      </c>
      <c r="C329" s="117"/>
      <c r="D329" s="13" t="s">
        <v>52</v>
      </c>
      <c r="E329" s="35">
        <f>E330+E334+E340</f>
        <v>0</v>
      </c>
      <c r="F329" s="2"/>
    </row>
    <row r="330" spans="1:9" hidden="1" x14ac:dyDescent="0.25">
      <c r="A330" s="5">
        <v>2</v>
      </c>
      <c r="B330" s="5">
        <v>6</v>
      </c>
      <c r="C330" s="53" t="s">
        <v>85</v>
      </c>
      <c r="D330" s="12" t="s">
        <v>300</v>
      </c>
      <c r="E330" s="54">
        <f>SUM(E331:E333)</f>
        <v>0</v>
      </c>
      <c r="F330" s="5" t="s">
        <v>3</v>
      </c>
    </row>
    <row r="331" spans="1:9" hidden="1" x14ac:dyDescent="0.25">
      <c r="A331" s="5"/>
      <c r="B331" s="5"/>
      <c r="C331" s="53"/>
      <c r="D331" s="71" t="s">
        <v>301</v>
      </c>
      <c r="E331" s="75"/>
      <c r="F331" s="46"/>
    </row>
    <row r="332" spans="1:9" hidden="1" x14ac:dyDescent="0.25">
      <c r="A332" s="5"/>
      <c r="B332" s="5"/>
      <c r="C332" s="53"/>
      <c r="D332" s="71" t="s">
        <v>302</v>
      </c>
      <c r="E332" s="75"/>
      <c r="F332" s="46"/>
    </row>
    <row r="333" spans="1:9" hidden="1" x14ac:dyDescent="0.25">
      <c r="A333" s="5"/>
      <c r="B333" s="5"/>
      <c r="C333" s="53"/>
      <c r="D333" s="71" t="s">
        <v>303</v>
      </c>
      <c r="E333" s="75"/>
      <c r="F333" s="46"/>
    </row>
    <row r="334" spans="1:9" ht="33.75" hidden="1" customHeight="1" x14ac:dyDescent="0.25">
      <c r="A334" s="3">
        <v>2</v>
      </c>
      <c r="B334" s="3">
        <v>6</v>
      </c>
      <c r="C334" s="34" t="s">
        <v>89</v>
      </c>
      <c r="D334" s="2" t="s">
        <v>53</v>
      </c>
      <c r="E334" s="35">
        <f>SUM(E335:E339)</f>
        <v>0</v>
      </c>
      <c r="F334" s="2" t="s">
        <v>304</v>
      </c>
    </row>
    <row r="335" spans="1:9" hidden="1" x14ac:dyDescent="0.25">
      <c r="A335" s="3"/>
      <c r="B335" s="3"/>
      <c r="C335" s="34"/>
      <c r="D335" s="42" t="s">
        <v>161</v>
      </c>
      <c r="E335" s="50">
        <v>0</v>
      </c>
      <c r="F335" s="2"/>
    </row>
    <row r="336" spans="1:9" hidden="1" x14ac:dyDescent="0.25">
      <c r="A336" s="3"/>
      <c r="B336" s="3"/>
      <c r="C336" s="34"/>
      <c r="D336" s="48" t="s">
        <v>162</v>
      </c>
      <c r="E336" s="49"/>
      <c r="F336" s="43" t="s">
        <v>3</v>
      </c>
      <c r="G336" s="173">
        <f>E336/12</f>
        <v>0</v>
      </c>
    </row>
    <row r="337" spans="1:9" hidden="1" x14ac:dyDescent="0.25">
      <c r="A337" s="3"/>
      <c r="B337" s="3"/>
      <c r="C337" s="34"/>
      <c r="D337" s="48" t="s">
        <v>586</v>
      </c>
      <c r="E337" s="49"/>
      <c r="F337" s="43" t="s">
        <v>3</v>
      </c>
      <c r="G337" s="173">
        <f>E337/12</f>
        <v>0</v>
      </c>
    </row>
    <row r="338" spans="1:9" hidden="1" x14ac:dyDescent="0.25">
      <c r="A338" s="3"/>
      <c r="B338" s="3"/>
      <c r="C338" s="34"/>
      <c r="D338" s="43" t="s">
        <v>305</v>
      </c>
      <c r="E338" s="37"/>
      <c r="F338" s="43" t="s">
        <v>6</v>
      </c>
      <c r="G338" t="s">
        <v>0</v>
      </c>
    </row>
    <row r="339" spans="1:9" hidden="1" x14ac:dyDescent="0.25">
      <c r="A339" s="3"/>
      <c r="B339" s="3"/>
      <c r="C339" s="34"/>
      <c r="D339" s="103" t="s">
        <v>306</v>
      </c>
      <c r="E339" s="104">
        <v>0</v>
      </c>
      <c r="F339" s="119"/>
    </row>
    <row r="340" spans="1:9" ht="30" hidden="1" x14ac:dyDescent="0.25">
      <c r="A340" s="93">
        <v>2</v>
      </c>
      <c r="B340" s="93">
        <v>6</v>
      </c>
      <c r="C340" s="94" t="s">
        <v>98</v>
      </c>
      <c r="D340" s="95" t="s">
        <v>307</v>
      </c>
      <c r="E340" s="35">
        <f>SUM(E341:E342)</f>
        <v>0</v>
      </c>
      <c r="F340" s="2" t="s">
        <v>3</v>
      </c>
    </row>
    <row r="341" spans="1:9" hidden="1" x14ac:dyDescent="0.25">
      <c r="A341" s="3"/>
      <c r="B341" s="3"/>
      <c r="C341" s="34"/>
      <c r="D341" s="103" t="s">
        <v>308</v>
      </c>
      <c r="E341" s="104">
        <v>0</v>
      </c>
      <c r="F341" s="2"/>
    </row>
    <row r="342" spans="1:9" hidden="1" x14ac:dyDescent="0.25">
      <c r="A342" s="3"/>
      <c r="B342" s="3"/>
      <c r="C342" s="34"/>
      <c r="D342" s="103" t="s">
        <v>309</v>
      </c>
      <c r="E342" s="104"/>
      <c r="F342" s="119"/>
    </row>
    <row r="343" spans="1:9" hidden="1" x14ac:dyDescent="0.25">
      <c r="A343" s="10">
        <v>2</v>
      </c>
      <c r="B343" s="10">
        <v>7</v>
      </c>
      <c r="C343" s="10"/>
      <c r="D343" s="114" t="s">
        <v>310</v>
      </c>
      <c r="E343" s="206">
        <f>E344+E345</f>
        <v>0</v>
      </c>
      <c r="F343" s="92"/>
    </row>
    <row r="344" spans="1:9" s="70" customFormat="1" ht="30" hidden="1" x14ac:dyDescent="0.25">
      <c r="A344" s="3">
        <v>2</v>
      </c>
      <c r="B344" s="3">
        <v>7</v>
      </c>
      <c r="C344" s="34" t="s">
        <v>85</v>
      </c>
      <c r="D344" s="260" t="s">
        <v>575</v>
      </c>
      <c r="E344" s="35"/>
      <c r="F344" s="3"/>
      <c r="H344" s="340"/>
      <c r="I344" s="340"/>
    </row>
    <row r="345" spans="1:9" s="70" customFormat="1" ht="30" hidden="1" x14ac:dyDescent="0.25">
      <c r="A345" s="3">
        <v>2</v>
      </c>
      <c r="B345" s="3">
        <v>7</v>
      </c>
      <c r="C345" s="34" t="s">
        <v>89</v>
      </c>
      <c r="D345" s="260" t="s">
        <v>576</v>
      </c>
      <c r="E345" s="35">
        <f>SUM(E346:E347)</f>
        <v>0</v>
      </c>
      <c r="F345" s="3" t="s">
        <v>6</v>
      </c>
      <c r="H345" s="340"/>
      <c r="I345" s="340"/>
    </row>
    <row r="346" spans="1:9" s="262" customFormat="1" hidden="1" x14ac:dyDescent="0.25">
      <c r="A346" s="36"/>
      <c r="B346" s="36"/>
      <c r="C346" s="38"/>
      <c r="D346" s="261" t="s">
        <v>581</v>
      </c>
      <c r="E346" s="37"/>
      <c r="F346" s="36" t="s">
        <v>6</v>
      </c>
      <c r="G346" s="262" t="s">
        <v>3</v>
      </c>
      <c r="H346" s="341"/>
      <c r="I346" s="341"/>
    </row>
    <row r="347" spans="1:9" s="237" customFormat="1" hidden="1" x14ac:dyDescent="0.25">
      <c r="A347" s="42"/>
      <c r="B347" s="42"/>
      <c r="C347" s="42"/>
      <c r="D347" s="71" t="s">
        <v>588</v>
      </c>
      <c r="E347" s="50"/>
      <c r="F347" s="42" t="s">
        <v>6</v>
      </c>
      <c r="G347" s="237" t="s">
        <v>3</v>
      </c>
      <c r="H347" s="342"/>
      <c r="I347" s="342"/>
    </row>
    <row r="348" spans="1:9" hidden="1" x14ac:dyDescent="0.25">
      <c r="A348" s="10">
        <v>2</v>
      </c>
      <c r="B348" s="10">
        <v>8</v>
      </c>
      <c r="C348" s="8"/>
      <c r="D348" s="114" t="s">
        <v>311</v>
      </c>
      <c r="E348" s="75">
        <f>E352</f>
        <v>0</v>
      </c>
      <c r="F348" s="46"/>
    </row>
    <row r="349" spans="1:9" hidden="1" x14ac:dyDescent="0.25">
      <c r="A349" s="3">
        <v>2</v>
      </c>
      <c r="B349" s="3">
        <v>8</v>
      </c>
      <c r="C349" s="34" t="s">
        <v>85</v>
      </c>
      <c r="D349" s="2" t="s">
        <v>312</v>
      </c>
      <c r="E349" s="35"/>
      <c r="F349" s="3"/>
    </row>
    <row r="350" spans="1:9" s="188" customFormat="1" ht="30" hidden="1" x14ac:dyDescent="0.25">
      <c r="A350" s="3">
        <v>2</v>
      </c>
      <c r="B350" s="3">
        <v>8</v>
      </c>
      <c r="C350" s="34" t="s">
        <v>89</v>
      </c>
      <c r="D350" s="2" t="s">
        <v>313</v>
      </c>
      <c r="E350" s="35"/>
      <c r="F350" s="3"/>
      <c r="H350" s="224"/>
      <c r="I350" s="224"/>
    </row>
    <row r="351" spans="1:9" hidden="1" x14ac:dyDescent="0.25">
      <c r="A351" s="5"/>
      <c r="B351" s="5"/>
      <c r="C351" s="53"/>
      <c r="D351" s="12"/>
      <c r="E351" s="54"/>
      <c r="F351" s="5"/>
    </row>
    <row r="352" spans="1:9" s="185" customFormat="1" hidden="1" x14ac:dyDescent="0.25">
      <c r="A352" s="5">
        <v>2</v>
      </c>
      <c r="B352" s="5">
        <v>8</v>
      </c>
      <c r="C352" s="53" t="s">
        <v>98</v>
      </c>
      <c r="D352" s="17" t="s">
        <v>314</v>
      </c>
      <c r="E352" s="54">
        <f>SUM(E353:E355)</f>
        <v>0</v>
      </c>
      <c r="F352" s="5" t="s">
        <v>3</v>
      </c>
      <c r="H352" s="255"/>
      <c r="I352" s="255"/>
    </row>
    <row r="353" spans="1:9" hidden="1" x14ac:dyDescent="0.25">
      <c r="A353" s="5"/>
      <c r="B353" s="5"/>
      <c r="C353" s="53"/>
      <c r="D353" s="120" t="s">
        <v>584</v>
      </c>
      <c r="E353" s="49"/>
      <c r="F353" s="92" t="s">
        <v>3</v>
      </c>
    </row>
    <row r="354" spans="1:9" hidden="1" x14ac:dyDescent="0.25">
      <c r="A354" s="5"/>
      <c r="B354" s="5"/>
      <c r="C354" s="53"/>
      <c r="D354" s="120"/>
      <c r="E354" s="49"/>
      <c r="F354" s="92" t="s">
        <v>3</v>
      </c>
    </row>
    <row r="355" spans="1:9" hidden="1" x14ac:dyDescent="0.25">
      <c r="A355" s="5"/>
      <c r="B355" s="5"/>
      <c r="C355" s="53"/>
      <c r="D355" s="120"/>
      <c r="E355" s="49">
        <v>0</v>
      </c>
      <c r="F355" s="92" t="s">
        <v>316</v>
      </c>
    </row>
    <row r="356" spans="1:9" x14ac:dyDescent="0.25">
      <c r="A356" s="11">
        <v>3</v>
      </c>
      <c r="B356" s="11"/>
      <c r="C356" s="11"/>
      <c r="D356" s="14" t="s">
        <v>54</v>
      </c>
      <c r="E356" s="54">
        <f>E357+E376+E393+E405</f>
        <v>97000000</v>
      </c>
      <c r="F356" s="5"/>
    </row>
    <row r="357" spans="1:9" ht="30" x14ac:dyDescent="0.25">
      <c r="A357" s="119">
        <v>3</v>
      </c>
      <c r="B357" s="121">
        <v>1</v>
      </c>
      <c r="C357" s="121"/>
      <c r="D357" s="15" t="s">
        <v>55</v>
      </c>
      <c r="E357" s="122">
        <f>E358+E367+E372</f>
        <v>57000000</v>
      </c>
      <c r="F357" s="121"/>
    </row>
    <row r="358" spans="1:9" ht="15.75" customHeight="1" x14ac:dyDescent="0.25">
      <c r="A358" s="5">
        <v>3</v>
      </c>
      <c r="B358" s="5">
        <v>1</v>
      </c>
      <c r="C358" s="53" t="s">
        <v>85</v>
      </c>
      <c r="D358" s="12" t="s">
        <v>60</v>
      </c>
      <c r="E358" s="54">
        <f>E359+E362</f>
        <v>57000000</v>
      </c>
      <c r="F358" s="5" t="s">
        <v>1</v>
      </c>
    </row>
    <row r="359" spans="1:9" ht="18" hidden="1" customHeight="1" x14ac:dyDescent="0.25">
      <c r="A359" s="5"/>
      <c r="B359" s="5"/>
      <c r="C359" s="53"/>
      <c r="D359" s="72" t="s">
        <v>317</v>
      </c>
      <c r="E359" s="64">
        <f>SUM(E360:E361)</f>
        <v>0</v>
      </c>
      <c r="F359" s="63" t="s">
        <v>3</v>
      </c>
    </row>
    <row r="360" spans="1:9" hidden="1" x14ac:dyDescent="0.25">
      <c r="A360" s="5"/>
      <c r="B360" s="5"/>
      <c r="C360" s="53"/>
      <c r="D360" s="71" t="s">
        <v>318</v>
      </c>
      <c r="E360" s="51">
        <v>0</v>
      </c>
      <c r="F360" s="42" t="s">
        <v>3</v>
      </c>
    </row>
    <row r="361" spans="1:9" hidden="1" x14ac:dyDescent="0.25">
      <c r="A361" s="5"/>
      <c r="B361" s="5"/>
      <c r="C361" s="53"/>
      <c r="D361" s="71" t="s">
        <v>319</v>
      </c>
      <c r="E361" s="51">
        <v>0</v>
      </c>
      <c r="F361" s="42" t="s">
        <v>3</v>
      </c>
    </row>
    <row r="362" spans="1:9" ht="15.75" customHeight="1" x14ac:dyDescent="0.25">
      <c r="A362" s="5"/>
      <c r="B362" s="5"/>
      <c r="C362" s="53"/>
      <c r="D362" s="72" t="s">
        <v>557</v>
      </c>
      <c r="E362" s="64">
        <f>SUM(E363:E366)</f>
        <v>57000000</v>
      </c>
      <c r="F362" s="63" t="s">
        <v>1</v>
      </c>
    </row>
    <row r="363" spans="1:9" x14ac:dyDescent="0.25">
      <c r="A363" s="3"/>
      <c r="B363" s="3"/>
      <c r="C363" s="34"/>
      <c r="D363" s="43" t="s">
        <v>558</v>
      </c>
      <c r="E363" s="37">
        <v>9000000</v>
      </c>
      <c r="F363" s="207" t="s">
        <v>1</v>
      </c>
    </row>
    <row r="364" spans="1:9" ht="17.25" customHeight="1" x14ac:dyDescent="0.25">
      <c r="A364" s="5"/>
      <c r="B364" s="5"/>
      <c r="C364" s="53"/>
      <c r="D364" s="71" t="s">
        <v>559</v>
      </c>
      <c r="E364" s="50">
        <v>3000000</v>
      </c>
      <c r="F364" s="273" t="s">
        <v>1</v>
      </c>
    </row>
    <row r="365" spans="1:9" s="204" customFormat="1" x14ac:dyDescent="0.25">
      <c r="A365" s="63"/>
      <c r="B365" s="63"/>
      <c r="C365" s="259"/>
      <c r="D365" s="71" t="s">
        <v>560</v>
      </c>
      <c r="E365" s="50">
        <v>35000000</v>
      </c>
      <c r="F365" s="273" t="s">
        <v>1</v>
      </c>
      <c r="H365" s="337">
        <f>1500000*30</f>
        <v>45000000</v>
      </c>
      <c r="I365" s="337">
        <f>H377</f>
        <v>44160000</v>
      </c>
    </row>
    <row r="366" spans="1:9" s="204" customFormat="1" x14ac:dyDescent="0.25">
      <c r="A366" s="63"/>
      <c r="B366" s="63"/>
      <c r="C366" s="259"/>
      <c r="D366" s="71" t="s">
        <v>560</v>
      </c>
      <c r="E366" s="50">
        <v>10000000</v>
      </c>
      <c r="F366" s="360" t="s">
        <v>2</v>
      </c>
      <c r="H366" s="337">
        <f>H365*12.5%</f>
        <v>5625000</v>
      </c>
      <c r="I366" s="337">
        <f>I365*1.5%</f>
        <v>662400</v>
      </c>
    </row>
    <row r="367" spans="1:9" ht="30" hidden="1" x14ac:dyDescent="0.25">
      <c r="A367" s="5">
        <v>3</v>
      </c>
      <c r="B367" s="5">
        <v>1</v>
      </c>
      <c r="C367" s="53" t="s">
        <v>89</v>
      </c>
      <c r="D367" s="12" t="s">
        <v>323</v>
      </c>
      <c r="E367" s="75"/>
      <c r="F367" s="46"/>
    </row>
    <row r="368" spans="1:9" ht="30" hidden="1" x14ac:dyDescent="0.25">
      <c r="A368" s="5">
        <v>3</v>
      </c>
      <c r="B368" s="5">
        <v>1</v>
      </c>
      <c r="C368" s="53" t="s">
        <v>98</v>
      </c>
      <c r="D368" s="12" t="s">
        <v>324</v>
      </c>
      <c r="E368" s="75"/>
      <c r="F368" s="46"/>
    </row>
    <row r="369" spans="1:9" hidden="1" x14ac:dyDescent="0.25">
      <c r="A369" s="3">
        <v>3</v>
      </c>
      <c r="B369" s="3">
        <v>1</v>
      </c>
      <c r="C369" s="34" t="s">
        <v>109</v>
      </c>
      <c r="D369" s="2" t="s">
        <v>325</v>
      </c>
      <c r="E369" s="109"/>
      <c r="F369" s="97"/>
    </row>
    <row r="370" spans="1:9" hidden="1" x14ac:dyDescent="0.25">
      <c r="A370" s="5">
        <v>3</v>
      </c>
      <c r="B370" s="5">
        <v>1</v>
      </c>
      <c r="C370" s="53" t="s">
        <v>122</v>
      </c>
      <c r="D370" s="12" t="s">
        <v>326</v>
      </c>
      <c r="E370" s="75"/>
      <c r="F370" s="46"/>
    </row>
    <row r="371" spans="1:9" hidden="1" x14ac:dyDescent="0.25">
      <c r="A371" s="5">
        <v>3</v>
      </c>
      <c r="B371" s="5">
        <v>1</v>
      </c>
      <c r="C371" s="53" t="s">
        <v>125</v>
      </c>
      <c r="D371" s="12" t="s">
        <v>327</v>
      </c>
      <c r="E371" s="75"/>
      <c r="F371" s="46"/>
    </row>
    <row r="372" spans="1:9" ht="30" hidden="1" x14ac:dyDescent="0.25">
      <c r="A372" s="5">
        <v>3</v>
      </c>
      <c r="B372" s="5">
        <v>1</v>
      </c>
      <c r="C372" s="53" t="s">
        <v>159</v>
      </c>
      <c r="D372" s="12" t="s">
        <v>328</v>
      </c>
      <c r="E372" s="75">
        <f>SUM(E373:E375)</f>
        <v>0</v>
      </c>
      <c r="F372" s="46"/>
    </row>
    <row r="373" spans="1:9" hidden="1" x14ac:dyDescent="0.25">
      <c r="A373" s="5"/>
      <c r="B373" s="5"/>
      <c r="C373" s="53"/>
      <c r="D373" s="12"/>
      <c r="E373" s="75"/>
      <c r="F373" s="46"/>
    </row>
    <row r="374" spans="1:9" hidden="1" x14ac:dyDescent="0.25">
      <c r="A374" s="5"/>
      <c r="B374" s="5"/>
      <c r="C374" s="53"/>
      <c r="D374" s="12"/>
      <c r="E374" s="75"/>
      <c r="F374" s="46"/>
    </row>
    <row r="375" spans="1:9" hidden="1" x14ac:dyDescent="0.25">
      <c r="A375" s="5"/>
      <c r="B375" s="5"/>
      <c r="C375" s="53"/>
      <c r="D375" s="12"/>
      <c r="E375" s="75"/>
      <c r="F375" s="46"/>
    </row>
    <row r="376" spans="1:9" x14ac:dyDescent="0.25">
      <c r="A376" s="121">
        <v>3</v>
      </c>
      <c r="B376" s="121">
        <v>2</v>
      </c>
      <c r="C376" s="121"/>
      <c r="D376" s="15" t="s">
        <v>56</v>
      </c>
      <c r="E376" s="122">
        <f>E377+E379+E382</f>
        <v>21000000</v>
      </c>
      <c r="F376" s="15"/>
      <c r="H376" s="164">
        <f>H365-H366</f>
        <v>39375000</v>
      </c>
      <c r="I376" s="164">
        <f>I365-I366</f>
        <v>43497600</v>
      </c>
    </row>
    <row r="377" spans="1:9" x14ac:dyDescent="0.25">
      <c r="A377" s="3">
        <v>3</v>
      </c>
      <c r="B377" s="3">
        <v>2</v>
      </c>
      <c r="C377" s="34" t="s">
        <v>85</v>
      </c>
      <c r="D377" s="2" t="s">
        <v>57</v>
      </c>
      <c r="E377" s="109">
        <f>SUM(E378:E378)</f>
        <v>10000000</v>
      </c>
      <c r="F377" s="97" t="s">
        <v>1</v>
      </c>
      <c r="H377" s="164">
        <f>1380000*32</f>
        <v>44160000</v>
      </c>
      <c r="I377" s="164">
        <f>1200000*32</f>
        <v>38400000</v>
      </c>
    </row>
    <row r="378" spans="1:9" ht="13.5" customHeight="1" x14ac:dyDescent="0.25">
      <c r="A378" s="3"/>
      <c r="B378" s="3"/>
      <c r="C378" s="34"/>
      <c r="D378" s="43" t="s">
        <v>329</v>
      </c>
      <c r="E378" s="37">
        <v>10000000</v>
      </c>
      <c r="F378" s="363" t="s">
        <v>674</v>
      </c>
      <c r="I378" s="164">
        <f>I376-I377</f>
        <v>5097600</v>
      </c>
    </row>
    <row r="379" spans="1:9" ht="29.25" customHeight="1" x14ac:dyDescent="0.25">
      <c r="A379" s="3">
        <v>3</v>
      </c>
      <c r="B379" s="3">
        <v>2</v>
      </c>
      <c r="C379" s="34" t="s">
        <v>89</v>
      </c>
      <c r="D379" s="2" t="s">
        <v>58</v>
      </c>
      <c r="E379" s="35">
        <f>SUM(E380:E381)</f>
        <v>7000000</v>
      </c>
      <c r="F379" s="3" t="s">
        <v>330</v>
      </c>
    </row>
    <row r="380" spans="1:9" x14ac:dyDescent="0.25">
      <c r="A380" s="3"/>
      <c r="B380" s="3"/>
      <c r="C380" s="34"/>
      <c r="D380" s="103" t="s">
        <v>331</v>
      </c>
      <c r="E380" s="104">
        <v>2000000</v>
      </c>
      <c r="F380" s="368" t="s">
        <v>1</v>
      </c>
      <c r="I380" s="164">
        <f>I365*1.5%</f>
        <v>662400</v>
      </c>
    </row>
    <row r="381" spans="1:9" ht="19.5" customHeight="1" x14ac:dyDescent="0.25">
      <c r="A381" s="3"/>
      <c r="B381" s="3"/>
      <c r="C381" s="34"/>
      <c r="D381" s="103" t="s">
        <v>332</v>
      </c>
      <c r="E381" s="104">
        <v>5000000</v>
      </c>
      <c r="F381" s="361" t="s">
        <v>2</v>
      </c>
    </row>
    <row r="382" spans="1:9" ht="29.25" customHeight="1" x14ac:dyDescent="0.25">
      <c r="A382" s="3">
        <v>3</v>
      </c>
      <c r="B382" s="3">
        <v>2</v>
      </c>
      <c r="C382" s="34" t="s">
        <v>98</v>
      </c>
      <c r="D382" s="2" t="s">
        <v>561</v>
      </c>
      <c r="E382" s="35">
        <f>E383</f>
        <v>4000000</v>
      </c>
      <c r="F382" s="371" t="s">
        <v>429</v>
      </c>
    </row>
    <row r="383" spans="1:9" ht="18.75" customHeight="1" x14ac:dyDescent="0.25">
      <c r="A383" s="3"/>
      <c r="B383" s="3"/>
      <c r="C383" s="34"/>
      <c r="D383" s="43" t="s">
        <v>333</v>
      </c>
      <c r="E383" s="109">
        <v>4000000</v>
      </c>
      <c r="F383" s="36" t="s">
        <v>2</v>
      </c>
    </row>
    <row r="384" spans="1:9" hidden="1" x14ac:dyDescent="0.25">
      <c r="A384" s="3"/>
      <c r="B384" s="3"/>
      <c r="C384" s="34"/>
      <c r="D384" s="2"/>
      <c r="E384" s="109"/>
      <c r="F384" s="97"/>
    </row>
    <row r="385" spans="1:6" ht="30" hidden="1" x14ac:dyDescent="0.25">
      <c r="A385" s="5">
        <v>3</v>
      </c>
      <c r="B385" s="5">
        <v>2</v>
      </c>
      <c r="C385" s="53" t="s">
        <v>122</v>
      </c>
      <c r="D385" s="12" t="s">
        <v>334</v>
      </c>
      <c r="E385" s="75"/>
      <c r="F385" s="46"/>
    </row>
    <row r="386" spans="1:6" ht="45" hidden="1" x14ac:dyDescent="0.25">
      <c r="A386" s="5">
        <v>3</v>
      </c>
      <c r="B386" s="5">
        <v>2</v>
      </c>
      <c r="C386" s="53" t="s">
        <v>98</v>
      </c>
      <c r="D386" s="12" t="s">
        <v>335</v>
      </c>
      <c r="E386" s="75"/>
      <c r="F386" s="46"/>
    </row>
    <row r="387" spans="1:6" hidden="1" x14ac:dyDescent="0.25">
      <c r="A387" s="5"/>
      <c r="B387" s="5"/>
      <c r="C387" s="53"/>
      <c r="D387" s="4" t="s">
        <v>336</v>
      </c>
      <c r="E387" s="124">
        <v>0</v>
      </c>
      <c r="F387" s="46" t="s">
        <v>4</v>
      </c>
    </row>
    <row r="388" spans="1:6" hidden="1" x14ac:dyDescent="0.25">
      <c r="A388" s="5"/>
      <c r="B388" s="5"/>
      <c r="C388" s="53"/>
      <c r="D388" s="4" t="s">
        <v>337</v>
      </c>
      <c r="E388" s="124">
        <v>0</v>
      </c>
      <c r="F388" s="46" t="s">
        <v>338</v>
      </c>
    </row>
    <row r="389" spans="1:6" hidden="1" x14ac:dyDescent="0.25">
      <c r="A389" s="5"/>
      <c r="B389" s="5"/>
      <c r="C389" s="53"/>
      <c r="D389" s="4" t="s">
        <v>339</v>
      </c>
      <c r="E389" s="124">
        <v>0</v>
      </c>
      <c r="F389" s="46" t="s">
        <v>4</v>
      </c>
    </row>
    <row r="390" spans="1:6" ht="30" hidden="1" x14ac:dyDescent="0.25">
      <c r="A390" s="3">
        <v>3</v>
      </c>
      <c r="B390" s="3">
        <v>2</v>
      </c>
      <c r="C390" s="34" t="s">
        <v>122</v>
      </c>
      <c r="D390" s="2" t="s">
        <v>340</v>
      </c>
      <c r="E390" s="109">
        <v>0</v>
      </c>
      <c r="F390" s="97" t="s">
        <v>4</v>
      </c>
    </row>
    <row r="391" spans="1:6" hidden="1" x14ac:dyDescent="0.25">
      <c r="A391" s="5"/>
      <c r="B391" s="5"/>
      <c r="C391" s="53"/>
      <c r="D391" s="17" t="s">
        <v>341</v>
      </c>
      <c r="E391" s="124">
        <v>0</v>
      </c>
      <c r="F391" s="46" t="s">
        <v>4</v>
      </c>
    </row>
    <row r="392" spans="1:6" hidden="1" x14ac:dyDescent="0.25">
      <c r="A392" s="5"/>
      <c r="B392" s="5"/>
      <c r="C392" s="53"/>
      <c r="D392" s="2" t="s">
        <v>342</v>
      </c>
      <c r="E392" s="109">
        <v>0</v>
      </c>
      <c r="F392" s="97" t="s">
        <v>4</v>
      </c>
    </row>
    <row r="393" spans="1:6" x14ac:dyDescent="0.25">
      <c r="A393" s="125">
        <v>3</v>
      </c>
      <c r="B393" s="125">
        <v>3</v>
      </c>
      <c r="C393" s="125"/>
      <c r="D393" s="16" t="s">
        <v>61</v>
      </c>
      <c r="E393" s="126">
        <f>E394+E398+E399+E400+E401+E403</f>
        <v>9000000</v>
      </c>
      <c r="F393" s="125"/>
    </row>
    <row r="394" spans="1:6" ht="30" customHeight="1" x14ac:dyDescent="0.25">
      <c r="A394" s="3">
        <v>3</v>
      </c>
      <c r="B394" s="3">
        <v>3</v>
      </c>
      <c r="C394" s="34" t="s">
        <v>85</v>
      </c>
      <c r="D394" s="2" t="s">
        <v>62</v>
      </c>
      <c r="E394" s="35">
        <f>SUM(E395:E397)</f>
        <v>9000000</v>
      </c>
      <c r="F394" s="371" t="s">
        <v>429</v>
      </c>
    </row>
    <row r="395" spans="1:6" ht="18.75" customHeight="1" x14ac:dyDescent="0.25">
      <c r="A395" s="3"/>
      <c r="B395" s="3"/>
      <c r="C395" s="34"/>
      <c r="D395" s="43" t="s">
        <v>343</v>
      </c>
      <c r="E395" s="37">
        <v>2000000</v>
      </c>
      <c r="F395" s="36"/>
    </row>
    <row r="396" spans="1:6" ht="14.25" customHeight="1" x14ac:dyDescent="0.25">
      <c r="A396" s="3"/>
      <c r="B396" s="3"/>
      <c r="C396" s="34"/>
      <c r="D396" s="43" t="s">
        <v>344</v>
      </c>
      <c r="E396" s="37">
        <v>5000000</v>
      </c>
      <c r="F396" s="36"/>
    </row>
    <row r="397" spans="1:6" ht="18" customHeight="1" x14ac:dyDescent="0.25">
      <c r="A397" s="3"/>
      <c r="B397" s="3"/>
      <c r="C397" s="34"/>
      <c r="D397" s="43" t="s">
        <v>414</v>
      </c>
      <c r="E397" s="37">
        <v>2000000</v>
      </c>
      <c r="F397" s="36"/>
    </row>
    <row r="398" spans="1:6" hidden="1" x14ac:dyDescent="0.25">
      <c r="A398" s="5">
        <v>3</v>
      </c>
      <c r="B398" s="5">
        <v>3</v>
      </c>
      <c r="C398" s="53" t="s">
        <v>89</v>
      </c>
      <c r="D398" s="12" t="s">
        <v>345</v>
      </c>
      <c r="E398" s="75"/>
      <c r="F398" s="46"/>
    </row>
    <row r="399" spans="1:6" ht="30" hidden="1" x14ac:dyDescent="0.25">
      <c r="A399" s="5">
        <v>3</v>
      </c>
      <c r="B399" s="5">
        <v>3</v>
      </c>
      <c r="C399" s="53" t="s">
        <v>98</v>
      </c>
      <c r="D399" s="12" t="s">
        <v>346</v>
      </c>
      <c r="E399" s="75"/>
      <c r="F399" s="46"/>
    </row>
    <row r="400" spans="1:6" ht="30" hidden="1" x14ac:dyDescent="0.25">
      <c r="A400" s="5">
        <v>3</v>
      </c>
      <c r="B400" s="5">
        <v>3</v>
      </c>
      <c r="C400" s="53" t="s">
        <v>109</v>
      </c>
      <c r="D400" s="12" t="s">
        <v>347</v>
      </c>
      <c r="E400" s="75"/>
      <c r="F400" s="46"/>
    </row>
    <row r="401" spans="1:6" ht="30" hidden="1" x14ac:dyDescent="0.25">
      <c r="A401" s="3">
        <v>3</v>
      </c>
      <c r="B401" s="3">
        <v>3</v>
      </c>
      <c r="C401" s="34" t="s">
        <v>122</v>
      </c>
      <c r="D401" s="2" t="s">
        <v>348</v>
      </c>
      <c r="E401" s="35">
        <f>E402</f>
        <v>0</v>
      </c>
      <c r="F401" s="3" t="s">
        <v>1</v>
      </c>
    </row>
    <row r="402" spans="1:6" hidden="1" x14ac:dyDescent="0.25">
      <c r="A402" s="5"/>
      <c r="B402" s="5"/>
      <c r="C402" s="53"/>
      <c r="D402" s="222" t="s">
        <v>349</v>
      </c>
      <c r="E402" s="50">
        <v>0</v>
      </c>
      <c r="F402" s="42" t="s">
        <v>1</v>
      </c>
    </row>
    <row r="403" spans="1:6" hidden="1" x14ac:dyDescent="0.25">
      <c r="A403" s="3">
        <v>3</v>
      </c>
      <c r="B403" s="3">
        <v>3</v>
      </c>
      <c r="C403" s="34" t="s">
        <v>125</v>
      </c>
      <c r="D403" s="2" t="s">
        <v>350</v>
      </c>
      <c r="E403" s="35">
        <f>SUM(E404:E404)</f>
        <v>0</v>
      </c>
      <c r="F403" s="3" t="s">
        <v>1</v>
      </c>
    </row>
    <row r="404" spans="1:6" hidden="1" x14ac:dyDescent="0.25">
      <c r="A404" s="3"/>
      <c r="B404" s="3"/>
      <c r="C404" s="34"/>
      <c r="D404" s="207" t="s">
        <v>351</v>
      </c>
      <c r="E404" s="37">
        <v>0</v>
      </c>
      <c r="F404" s="36" t="s">
        <v>1</v>
      </c>
    </row>
    <row r="405" spans="1:6" x14ac:dyDescent="0.25">
      <c r="A405" s="125">
        <v>3</v>
      </c>
      <c r="B405" s="125">
        <v>4</v>
      </c>
      <c r="C405" s="125"/>
      <c r="D405" s="16" t="s">
        <v>63</v>
      </c>
      <c r="E405" s="126">
        <f>E406+E407+E411</f>
        <v>10000000</v>
      </c>
      <c r="F405" s="125"/>
    </row>
    <row r="406" spans="1:6" ht="16.5" hidden="1" customHeight="1" x14ac:dyDescent="0.25">
      <c r="A406" s="5">
        <v>3</v>
      </c>
      <c r="B406" s="5">
        <v>4</v>
      </c>
      <c r="C406" s="53" t="s">
        <v>85</v>
      </c>
      <c r="D406" s="12" t="s">
        <v>352</v>
      </c>
      <c r="E406" s="54"/>
      <c r="F406" s="46"/>
    </row>
    <row r="407" spans="1:6" ht="20.25" customHeight="1" x14ac:dyDescent="0.25">
      <c r="A407" s="5">
        <v>3</v>
      </c>
      <c r="B407" s="5">
        <v>4</v>
      </c>
      <c r="C407" s="47" t="s">
        <v>89</v>
      </c>
      <c r="D407" s="12" t="s">
        <v>64</v>
      </c>
      <c r="E407" s="54">
        <f>SUM(E408:E410)</f>
        <v>5000000</v>
      </c>
      <c r="F407" s="5" t="s">
        <v>2</v>
      </c>
    </row>
    <row r="408" spans="1:6" ht="14.25" hidden="1" customHeight="1" x14ac:dyDescent="0.25">
      <c r="A408" s="5"/>
      <c r="B408" s="5"/>
      <c r="C408" s="47"/>
      <c r="D408" s="71" t="s">
        <v>353</v>
      </c>
      <c r="E408" s="50">
        <v>0</v>
      </c>
      <c r="F408" s="42" t="s">
        <v>0</v>
      </c>
    </row>
    <row r="409" spans="1:6" ht="11.25" customHeight="1" x14ac:dyDescent="0.25">
      <c r="A409" s="5"/>
      <c r="B409" s="5"/>
      <c r="C409" s="47"/>
      <c r="D409" s="71" t="s">
        <v>353</v>
      </c>
      <c r="E409" s="50">
        <v>4060856</v>
      </c>
      <c r="F409" s="353" t="s">
        <v>2</v>
      </c>
    </row>
    <row r="410" spans="1:6" ht="11.25" customHeight="1" x14ac:dyDescent="0.25">
      <c r="A410" s="5"/>
      <c r="B410" s="5"/>
      <c r="C410" s="47"/>
      <c r="D410" s="71" t="s">
        <v>353</v>
      </c>
      <c r="E410" s="50">
        <v>939144</v>
      </c>
      <c r="F410" s="372" t="s">
        <v>429</v>
      </c>
    </row>
    <row r="411" spans="1:6" x14ac:dyDescent="0.25">
      <c r="A411" s="5">
        <v>3</v>
      </c>
      <c r="B411" s="5">
        <v>4</v>
      </c>
      <c r="C411" s="53" t="s">
        <v>98</v>
      </c>
      <c r="D411" s="127" t="s">
        <v>65</v>
      </c>
      <c r="E411" s="54">
        <f>SUM(E412:E413)</f>
        <v>5000000</v>
      </c>
      <c r="F411" s="5"/>
    </row>
    <row r="412" spans="1:6" x14ac:dyDescent="0.25">
      <c r="A412" s="5"/>
      <c r="B412" s="5"/>
      <c r="C412" s="47"/>
      <c r="D412" s="71" t="s">
        <v>354</v>
      </c>
      <c r="E412" s="50">
        <v>4615316</v>
      </c>
      <c r="F412" s="52" t="s">
        <v>1</v>
      </c>
    </row>
    <row r="413" spans="1:6" x14ac:dyDescent="0.25">
      <c r="A413" s="5"/>
      <c r="B413" s="5"/>
      <c r="C413" s="47"/>
      <c r="D413" s="71" t="s">
        <v>354</v>
      </c>
      <c r="E413" s="50">
        <v>384684</v>
      </c>
      <c r="F413" s="324" t="s">
        <v>426</v>
      </c>
    </row>
    <row r="414" spans="1:6" x14ac:dyDescent="0.25">
      <c r="A414" s="128">
        <v>4</v>
      </c>
      <c r="B414" s="129"/>
      <c r="C414" s="129"/>
      <c r="D414" s="14" t="s">
        <v>66</v>
      </c>
      <c r="E414" s="130">
        <f>E415+E420+E433+E438+E446+E453+E457</f>
        <v>6499999.1100000003</v>
      </c>
      <c r="F414" s="129"/>
    </row>
    <row r="415" spans="1:6" hidden="1" x14ac:dyDescent="0.25">
      <c r="A415" s="125">
        <v>4</v>
      </c>
      <c r="B415" s="125">
        <v>1</v>
      </c>
      <c r="C415" s="125"/>
      <c r="D415" s="16" t="s">
        <v>355</v>
      </c>
      <c r="E415" s="126">
        <f>E416+E418</f>
        <v>0</v>
      </c>
      <c r="F415" s="125" t="s">
        <v>3</v>
      </c>
    </row>
    <row r="416" spans="1:6" hidden="1" x14ac:dyDescent="0.25">
      <c r="A416" s="5">
        <v>4</v>
      </c>
      <c r="B416" s="5">
        <v>1</v>
      </c>
      <c r="C416" s="53" t="s">
        <v>122</v>
      </c>
      <c r="D416" s="12" t="s">
        <v>356</v>
      </c>
      <c r="E416" s="75">
        <v>0</v>
      </c>
      <c r="F416" s="46"/>
    </row>
    <row r="417" spans="1:19" hidden="1" x14ac:dyDescent="0.25">
      <c r="A417" s="5"/>
      <c r="B417" s="5"/>
      <c r="C417" s="53"/>
      <c r="D417" s="12"/>
      <c r="E417" s="75"/>
      <c r="F417" s="46"/>
    </row>
    <row r="418" spans="1:19" s="164" customFormat="1" ht="30" hidden="1" x14ac:dyDescent="0.25">
      <c r="A418" s="3">
        <v>4</v>
      </c>
      <c r="B418" s="3">
        <v>1</v>
      </c>
      <c r="C418" s="34" t="s">
        <v>125</v>
      </c>
      <c r="D418" s="2" t="s">
        <v>357</v>
      </c>
      <c r="E418" s="109">
        <f>SUM(E419:E419)</f>
        <v>0</v>
      </c>
      <c r="F418" s="97"/>
      <c r="G418"/>
      <c r="J418"/>
      <c r="K418"/>
      <c r="L418"/>
      <c r="M418"/>
      <c r="N418"/>
      <c r="O418"/>
      <c r="P418"/>
      <c r="Q418"/>
      <c r="R418"/>
      <c r="S418"/>
    </row>
    <row r="419" spans="1:19" s="164" customFormat="1" hidden="1" x14ac:dyDescent="0.25">
      <c r="A419" s="5"/>
      <c r="B419" s="5"/>
      <c r="C419" s="53"/>
      <c r="D419" s="12"/>
      <c r="E419" s="75"/>
      <c r="F419" s="46"/>
      <c r="G419"/>
      <c r="J419"/>
      <c r="K419"/>
      <c r="L419"/>
      <c r="M419"/>
      <c r="N419"/>
      <c r="O419"/>
      <c r="P419"/>
      <c r="Q419"/>
      <c r="R419"/>
      <c r="S419"/>
    </row>
    <row r="420" spans="1:19" s="164" customFormat="1" hidden="1" x14ac:dyDescent="0.25">
      <c r="A420" s="125">
        <v>4</v>
      </c>
      <c r="B420" s="125">
        <v>2</v>
      </c>
      <c r="C420" s="131"/>
      <c r="D420" s="16" t="s">
        <v>67</v>
      </c>
      <c r="E420" s="126">
        <f>E421+E423+E427+E429</f>
        <v>0</v>
      </c>
      <c r="F420" s="125" t="s">
        <v>3</v>
      </c>
      <c r="G420"/>
      <c r="J420"/>
      <c r="K420"/>
      <c r="L420"/>
      <c r="M420"/>
      <c r="N420"/>
      <c r="O420"/>
      <c r="P420"/>
      <c r="Q420"/>
      <c r="R420"/>
      <c r="S420"/>
    </row>
    <row r="421" spans="1:19" s="164" customFormat="1" ht="30" hidden="1" x14ac:dyDescent="0.25">
      <c r="A421" s="3">
        <v>4</v>
      </c>
      <c r="B421" s="97">
        <v>2</v>
      </c>
      <c r="C421" s="132" t="s">
        <v>85</v>
      </c>
      <c r="D421" s="107" t="s">
        <v>358</v>
      </c>
      <c r="E421" s="35">
        <f>E422</f>
        <v>0</v>
      </c>
      <c r="F421" s="46"/>
      <c r="G421"/>
      <c r="J421"/>
      <c r="K421"/>
      <c r="L421"/>
      <c r="M421"/>
      <c r="N421"/>
      <c r="O421"/>
      <c r="P421"/>
      <c r="Q421"/>
      <c r="R421"/>
      <c r="S421"/>
    </row>
    <row r="422" spans="1:19" s="164" customFormat="1" hidden="1" x14ac:dyDescent="0.25">
      <c r="A422" s="5"/>
      <c r="B422" s="46"/>
      <c r="C422" s="47"/>
      <c r="D422" s="71" t="s">
        <v>359</v>
      </c>
      <c r="E422" s="322"/>
      <c r="F422" s="36" t="s">
        <v>3</v>
      </c>
      <c r="G422" s="173">
        <f>E422/50000</f>
        <v>0</v>
      </c>
      <c r="J422"/>
      <c r="K422"/>
      <c r="L422"/>
      <c r="M422"/>
      <c r="N422"/>
      <c r="O422"/>
      <c r="P422"/>
      <c r="Q422"/>
      <c r="R422"/>
      <c r="S422"/>
    </row>
    <row r="423" spans="1:19" s="164" customFormat="1" ht="30" hidden="1" x14ac:dyDescent="0.25">
      <c r="A423" s="3">
        <v>4</v>
      </c>
      <c r="B423" s="3">
        <v>2</v>
      </c>
      <c r="C423" s="34" t="s">
        <v>89</v>
      </c>
      <c r="D423" s="2" t="s">
        <v>68</v>
      </c>
      <c r="E423" s="35">
        <f>SUM(E424:E426)</f>
        <v>0</v>
      </c>
      <c r="F423" s="76" t="s">
        <v>3</v>
      </c>
      <c r="G423"/>
      <c r="J423"/>
      <c r="K423"/>
      <c r="L423"/>
      <c r="M423"/>
      <c r="N423"/>
      <c r="O423"/>
      <c r="P423"/>
      <c r="Q423"/>
      <c r="R423"/>
      <c r="S423"/>
    </row>
    <row r="424" spans="1:19" s="164" customFormat="1" hidden="1" x14ac:dyDescent="0.25">
      <c r="A424" s="3"/>
      <c r="B424" s="97"/>
      <c r="C424" s="132"/>
      <c r="D424" s="43" t="s">
        <v>600</v>
      </c>
      <c r="E424" s="51"/>
      <c r="F424" s="42"/>
      <c r="G424"/>
      <c r="J424"/>
      <c r="K424"/>
      <c r="L424"/>
      <c r="M424"/>
      <c r="N424"/>
      <c r="O424"/>
      <c r="P424"/>
      <c r="Q424"/>
      <c r="R424"/>
      <c r="S424"/>
    </row>
    <row r="425" spans="1:19" s="164" customFormat="1" hidden="1" x14ac:dyDescent="0.25">
      <c r="A425" s="133"/>
      <c r="B425" s="134"/>
      <c r="C425" s="135"/>
      <c r="D425" s="136" t="s">
        <v>360</v>
      </c>
      <c r="E425" s="137">
        <v>0</v>
      </c>
      <c r="F425" s="138"/>
      <c r="G425"/>
      <c r="J425"/>
      <c r="K425"/>
      <c r="L425"/>
      <c r="M425"/>
      <c r="N425"/>
      <c r="O425"/>
      <c r="P425"/>
      <c r="Q425"/>
      <c r="R425"/>
      <c r="S425"/>
    </row>
    <row r="426" spans="1:19" s="164" customFormat="1" hidden="1" x14ac:dyDescent="0.25">
      <c r="A426" s="5"/>
      <c r="B426" s="46"/>
      <c r="C426" s="47"/>
      <c r="D426" s="71" t="s">
        <v>361</v>
      </c>
      <c r="E426" s="50">
        <v>0</v>
      </c>
      <c r="F426" s="42"/>
      <c r="G426"/>
      <c r="J426"/>
      <c r="K426"/>
      <c r="L426"/>
      <c r="M426"/>
      <c r="N426"/>
      <c r="O426"/>
      <c r="P426"/>
      <c r="Q426"/>
      <c r="R426"/>
      <c r="S426"/>
    </row>
    <row r="427" spans="1:19" s="164" customFormat="1" hidden="1" x14ac:dyDescent="0.25">
      <c r="A427" s="3">
        <v>4</v>
      </c>
      <c r="B427" s="97">
        <v>2</v>
      </c>
      <c r="C427" s="132" t="s">
        <v>98</v>
      </c>
      <c r="D427" s="107" t="s">
        <v>362</v>
      </c>
      <c r="E427" s="35">
        <f>E428</f>
        <v>0</v>
      </c>
      <c r="F427" s="3" t="s">
        <v>3</v>
      </c>
      <c r="G427"/>
      <c r="J427"/>
      <c r="K427"/>
      <c r="L427"/>
      <c r="M427"/>
      <c r="N427"/>
      <c r="O427"/>
      <c r="P427"/>
      <c r="Q427"/>
      <c r="R427"/>
      <c r="S427"/>
    </row>
    <row r="428" spans="1:19" s="164" customFormat="1" hidden="1" x14ac:dyDescent="0.25">
      <c r="A428" s="5"/>
      <c r="B428" s="46"/>
      <c r="C428" s="47"/>
      <c r="D428" s="71" t="s">
        <v>363</v>
      </c>
      <c r="E428" s="50">
        <v>0</v>
      </c>
      <c r="F428" s="42" t="s">
        <v>3</v>
      </c>
      <c r="G428"/>
      <c r="J428"/>
      <c r="K428"/>
      <c r="L428"/>
      <c r="M428"/>
      <c r="N428"/>
      <c r="O428"/>
      <c r="P428"/>
      <c r="Q428"/>
      <c r="R428"/>
      <c r="S428"/>
    </row>
    <row r="429" spans="1:19" s="164" customFormat="1" ht="30" hidden="1" x14ac:dyDescent="0.25">
      <c r="A429" s="3">
        <v>4</v>
      </c>
      <c r="B429" s="97">
        <v>2</v>
      </c>
      <c r="C429" s="132" t="s">
        <v>122</v>
      </c>
      <c r="D429" s="107" t="s">
        <v>364</v>
      </c>
      <c r="E429" s="35">
        <f>SUM(E430:E432)</f>
        <v>0</v>
      </c>
      <c r="F429" s="76" t="s">
        <v>3</v>
      </c>
      <c r="G429"/>
      <c r="J429"/>
      <c r="K429"/>
      <c r="L429"/>
      <c r="M429"/>
      <c r="N429"/>
      <c r="O429"/>
      <c r="P429"/>
      <c r="Q429"/>
      <c r="R429"/>
      <c r="S429"/>
    </row>
    <row r="430" spans="1:19" s="164" customFormat="1" hidden="1" x14ac:dyDescent="0.25">
      <c r="A430" s="5"/>
      <c r="B430" s="46"/>
      <c r="C430" s="47"/>
      <c r="D430" s="71" t="s">
        <v>365</v>
      </c>
      <c r="E430" s="50">
        <v>0</v>
      </c>
      <c r="F430" s="42"/>
      <c r="G430"/>
      <c r="J430"/>
      <c r="K430"/>
      <c r="L430"/>
      <c r="M430"/>
      <c r="N430"/>
      <c r="O430"/>
      <c r="P430"/>
      <c r="Q430"/>
      <c r="R430"/>
      <c r="S430"/>
    </row>
    <row r="431" spans="1:19" s="164" customFormat="1" hidden="1" x14ac:dyDescent="0.25">
      <c r="A431" s="5"/>
      <c r="B431" s="46"/>
      <c r="C431" s="47"/>
      <c r="D431" s="71"/>
      <c r="E431" s="50"/>
      <c r="F431" s="42"/>
      <c r="G431"/>
      <c r="J431"/>
      <c r="K431"/>
      <c r="L431"/>
      <c r="M431"/>
      <c r="N431"/>
      <c r="O431"/>
      <c r="P431"/>
      <c r="Q431"/>
      <c r="R431"/>
      <c r="S431"/>
    </row>
    <row r="432" spans="1:19" s="164" customFormat="1" hidden="1" x14ac:dyDescent="0.25">
      <c r="A432" s="5"/>
      <c r="B432" s="46"/>
      <c r="C432" s="47"/>
      <c r="D432" s="71"/>
      <c r="E432" s="50"/>
      <c r="F432" s="42"/>
      <c r="G432"/>
      <c r="J432"/>
      <c r="K432"/>
      <c r="L432"/>
      <c r="M432"/>
      <c r="N432"/>
      <c r="O432"/>
      <c r="P432"/>
      <c r="Q432"/>
      <c r="R432"/>
      <c r="S432"/>
    </row>
    <row r="433" spans="1:19" s="164" customFormat="1" x14ac:dyDescent="0.25">
      <c r="A433" s="125">
        <v>4</v>
      </c>
      <c r="B433" s="125">
        <v>3</v>
      </c>
      <c r="C433" s="125"/>
      <c r="D433" s="16" t="s">
        <v>69</v>
      </c>
      <c r="E433" s="126">
        <f>SUM(E434:E437)</f>
        <v>1500000</v>
      </c>
      <c r="F433" s="125"/>
      <c r="G433"/>
      <c r="J433"/>
      <c r="K433"/>
      <c r="L433"/>
      <c r="M433"/>
      <c r="N433"/>
      <c r="O433"/>
      <c r="P433"/>
      <c r="Q433"/>
      <c r="R433"/>
      <c r="S433"/>
    </row>
    <row r="434" spans="1:19" s="164" customFormat="1" hidden="1" x14ac:dyDescent="0.25">
      <c r="A434" s="5">
        <v>4</v>
      </c>
      <c r="B434" s="5">
        <v>3</v>
      </c>
      <c r="C434" s="47" t="s">
        <v>85</v>
      </c>
      <c r="D434" s="17" t="s">
        <v>70</v>
      </c>
      <c r="E434" s="91"/>
      <c r="F434" s="46" t="s">
        <v>0</v>
      </c>
      <c r="G434"/>
      <c r="J434"/>
      <c r="K434"/>
      <c r="L434"/>
      <c r="M434"/>
      <c r="N434"/>
      <c r="O434"/>
      <c r="P434"/>
      <c r="Q434"/>
      <c r="R434"/>
      <c r="S434"/>
    </row>
    <row r="435" spans="1:19" s="164" customFormat="1" hidden="1" x14ac:dyDescent="0.25">
      <c r="A435" s="5">
        <v>4</v>
      </c>
      <c r="B435" s="5">
        <v>3</v>
      </c>
      <c r="C435" s="47" t="s">
        <v>89</v>
      </c>
      <c r="D435" s="17" t="s">
        <v>71</v>
      </c>
      <c r="E435" s="91"/>
      <c r="F435" s="46" t="s">
        <v>0</v>
      </c>
      <c r="G435"/>
      <c r="J435"/>
      <c r="K435"/>
      <c r="L435"/>
      <c r="M435"/>
      <c r="N435"/>
      <c r="O435"/>
      <c r="P435"/>
      <c r="Q435"/>
      <c r="R435"/>
      <c r="S435"/>
    </row>
    <row r="436" spans="1:19" s="164" customFormat="1" hidden="1" x14ac:dyDescent="0.25">
      <c r="A436" s="5"/>
      <c r="B436" s="5"/>
      <c r="C436" s="47"/>
      <c r="D436" s="17" t="s">
        <v>71</v>
      </c>
      <c r="E436" s="270">
        <v>0</v>
      </c>
      <c r="F436" s="46" t="s">
        <v>1</v>
      </c>
      <c r="G436"/>
      <c r="J436"/>
      <c r="K436"/>
      <c r="L436"/>
      <c r="M436"/>
      <c r="N436"/>
      <c r="O436"/>
      <c r="P436"/>
      <c r="Q436"/>
      <c r="R436"/>
      <c r="S436"/>
    </row>
    <row r="437" spans="1:19" s="164" customFormat="1" x14ac:dyDescent="0.25">
      <c r="A437" s="5">
        <v>4</v>
      </c>
      <c r="B437" s="5">
        <v>3</v>
      </c>
      <c r="C437" s="47" t="s">
        <v>98</v>
      </c>
      <c r="D437" s="17" t="s">
        <v>72</v>
      </c>
      <c r="E437" s="91">
        <v>1500000</v>
      </c>
      <c r="F437" s="369" t="s">
        <v>426</v>
      </c>
      <c r="G437"/>
      <c r="J437"/>
      <c r="K437"/>
      <c r="L437"/>
      <c r="M437"/>
      <c r="N437"/>
      <c r="O437"/>
      <c r="P437"/>
      <c r="Q437"/>
      <c r="R437"/>
      <c r="S437"/>
    </row>
    <row r="438" spans="1:19" s="164" customFormat="1" ht="30" x14ac:dyDescent="0.25">
      <c r="A438" s="121">
        <v>4</v>
      </c>
      <c r="B438" s="121">
        <v>4</v>
      </c>
      <c r="C438" s="139"/>
      <c r="D438" s="140" t="s">
        <v>73</v>
      </c>
      <c r="E438" s="122">
        <f>E439+E442+E444</f>
        <v>4999999.1100000003</v>
      </c>
      <c r="F438" s="121" t="s">
        <v>1</v>
      </c>
      <c r="G438"/>
      <c r="J438"/>
      <c r="K438"/>
      <c r="L438"/>
      <c r="M438"/>
      <c r="N438"/>
      <c r="O438"/>
      <c r="P438"/>
      <c r="Q438"/>
      <c r="R438"/>
      <c r="S438"/>
    </row>
    <row r="439" spans="1:19" s="164" customFormat="1" x14ac:dyDescent="0.25">
      <c r="A439" s="5">
        <v>4</v>
      </c>
      <c r="B439" s="5">
        <v>4</v>
      </c>
      <c r="C439" s="47" t="s">
        <v>85</v>
      </c>
      <c r="D439" s="12" t="s">
        <v>74</v>
      </c>
      <c r="E439" s="54">
        <f>SUM(E440:E441)</f>
        <v>4999999.1100000003</v>
      </c>
      <c r="F439" s="46" t="s">
        <v>1</v>
      </c>
      <c r="G439"/>
      <c r="J439"/>
      <c r="K439"/>
      <c r="L439"/>
      <c r="M439"/>
      <c r="N439"/>
      <c r="O439"/>
      <c r="P439"/>
      <c r="Q439"/>
      <c r="R439"/>
      <c r="S439"/>
    </row>
    <row r="440" spans="1:19" s="164" customFormat="1" ht="14.25" customHeight="1" x14ac:dyDescent="0.25">
      <c r="A440" s="5"/>
      <c r="B440" s="5"/>
      <c r="C440" s="47"/>
      <c r="D440" s="71" t="s">
        <v>366</v>
      </c>
      <c r="E440" s="50">
        <v>1413383.11</v>
      </c>
      <c r="F440" s="354" t="s">
        <v>674</v>
      </c>
      <c r="G440" t="s">
        <v>3</v>
      </c>
      <c r="J440"/>
      <c r="K440"/>
      <c r="L440"/>
      <c r="M440"/>
      <c r="N440"/>
      <c r="O440"/>
      <c r="P440"/>
      <c r="Q440"/>
      <c r="R440"/>
      <c r="S440"/>
    </row>
    <row r="441" spans="1:19" s="164" customFormat="1" x14ac:dyDescent="0.25">
      <c r="A441" s="5"/>
      <c r="B441" s="5"/>
      <c r="C441" s="47"/>
      <c r="D441" s="71" t="s">
        <v>366</v>
      </c>
      <c r="E441" s="50">
        <v>3586616</v>
      </c>
      <c r="F441" s="324" t="s">
        <v>426</v>
      </c>
      <c r="G441"/>
      <c r="J441"/>
      <c r="K441"/>
      <c r="L441"/>
      <c r="M441"/>
      <c r="N441"/>
      <c r="O441"/>
      <c r="P441"/>
      <c r="Q441"/>
      <c r="R441"/>
      <c r="S441"/>
    </row>
    <row r="442" spans="1:19" s="164" customFormat="1" hidden="1" x14ac:dyDescent="0.25">
      <c r="A442" s="5">
        <v>4</v>
      </c>
      <c r="B442" s="5">
        <v>4</v>
      </c>
      <c r="C442" s="47" t="s">
        <v>89</v>
      </c>
      <c r="D442" s="12" t="s">
        <v>367</v>
      </c>
      <c r="E442" s="54">
        <f>E443</f>
        <v>0</v>
      </c>
      <c r="F442" s="46" t="s">
        <v>3</v>
      </c>
      <c r="G442"/>
      <c r="J442"/>
      <c r="K442"/>
      <c r="L442"/>
      <c r="M442"/>
      <c r="N442"/>
      <c r="O442"/>
      <c r="P442"/>
      <c r="Q442"/>
      <c r="R442"/>
      <c r="S442"/>
    </row>
    <row r="443" spans="1:19" s="164" customFormat="1" hidden="1" x14ac:dyDescent="0.25">
      <c r="A443" s="5"/>
      <c r="B443" s="5"/>
      <c r="C443" s="47"/>
      <c r="D443" s="71"/>
      <c r="E443" s="50"/>
      <c r="F443" s="42"/>
      <c r="G443"/>
      <c r="J443"/>
      <c r="K443"/>
      <c r="L443"/>
      <c r="M443"/>
      <c r="N443"/>
      <c r="O443"/>
      <c r="P443"/>
      <c r="Q443"/>
      <c r="R443"/>
      <c r="S443"/>
    </row>
    <row r="444" spans="1:19" s="164" customFormat="1" hidden="1" x14ac:dyDescent="0.25">
      <c r="A444" s="5">
        <v>4</v>
      </c>
      <c r="B444" s="5">
        <v>4</v>
      </c>
      <c r="C444" s="47" t="s">
        <v>98</v>
      </c>
      <c r="D444" s="12" t="s">
        <v>368</v>
      </c>
      <c r="E444" s="54">
        <f>SUM(E445)</f>
        <v>0</v>
      </c>
      <c r="F444" s="46" t="s">
        <v>3</v>
      </c>
      <c r="G444"/>
      <c r="J444"/>
      <c r="K444"/>
      <c r="L444"/>
      <c r="M444"/>
      <c r="N444"/>
      <c r="O444"/>
      <c r="P444"/>
      <c r="Q444"/>
      <c r="R444"/>
      <c r="S444"/>
    </row>
    <row r="445" spans="1:19" s="164" customFormat="1" hidden="1" x14ac:dyDescent="0.25">
      <c r="A445" s="5"/>
      <c r="B445" s="5"/>
      <c r="C445" s="47"/>
      <c r="D445" s="12"/>
      <c r="E445" s="54"/>
      <c r="F445" s="46"/>
      <c r="G445"/>
      <c r="J445"/>
      <c r="K445"/>
      <c r="L445"/>
      <c r="M445"/>
      <c r="N445"/>
      <c r="O445"/>
      <c r="P445"/>
      <c r="Q445"/>
      <c r="R445"/>
      <c r="S445"/>
    </row>
    <row r="446" spans="1:19" s="164" customFormat="1" hidden="1" x14ac:dyDescent="0.25">
      <c r="A446" s="125">
        <v>4</v>
      </c>
      <c r="B446" s="125">
        <v>5</v>
      </c>
      <c r="C446" s="125"/>
      <c r="D446" s="16" t="s">
        <v>369</v>
      </c>
      <c r="E446" s="126">
        <f>E447+E449+E451</f>
        <v>0</v>
      </c>
      <c r="F446" s="125" t="s">
        <v>3</v>
      </c>
      <c r="G446"/>
      <c r="J446"/>
      <c r="K446"/>
      <c r="L446"/>
      <c r="M446"/>
      <c r="N446"/>
      <c r="O446"/>
      <c r="P446"/>
      <c r="Q446"/>
      <c r="R446"/>
      <c r="S446"/>
    </row>
    <row r="447" spans="1:19" s="164" customFormat="1" hidden="1" x14ac:dyDescent="0.25">
      <c r="A447" s="3">
        <v>4</v>
      </c>
      <c r="B447" s="3">
        <v>5</v>
      </c>
      <c r="C447" s="132" t="s">
        <v>85</v>
      </c>
      <c r="D447" s="2" t="s">
        <v>370</v>
      </c>
      <c r="E447" s="35">
        <f>E448</f>
        <v>0</v>
      </c>
      <c r="F447" s="97"/>
      <c r="G447"/>
      <c r="J447"/>
      <c r="K447"/>
      <c r="L447"/>
      <c r="M447"/>
      <c r="N447"/>
      <c r="O447"/>
      <c r="P447"/>
      <c r="Q447"/>
      <c r="R447"/>
      <c r="S447"/>
    </row>
    <row r="448" spans="1:19" s="164" customFormat="1" hidden="1" x14ac:dyDescent="0.25">
      <c r="A448" s="5"/>
      <c r="B448" s="5"/>
      <c r="C448" s="47"/>
      <c r="D448" s="12"/>
      <c r="E448" s="54"/>
      <c r="F448" s="46"/>
      <c r="G448"/>
      <c r="J448"/>
      <c r="K448"/>
      <c r="L448"/>
      <c r="M448"/>
      <c r="N448"/>
      <c r="O448"/>
      <c r="P448"/>
      <c r="Q448"/>
      <c r="R448"/>
      <c r="S448"/>
    </row>
    <row r="449" spans="1:19" s="164" customFormat="1" hidden="1" x14ac:dyDescent="0.25">
      <c r="A449" s="3">
        <v>4</v>
      </c>
      <c r="B449" s="3">
        <v>5</v>
      </c>
      <c r="C449" s="132" t="s">
        <v>89</v>
      </c>
      <c r="D449" s="2" t="s">
        <v>371</v>
      </c>
      <c r="E449" s="35">
        <f>E450</f>
        <v>0</v>
      </c>
      <c r="F449" s="97"/>
      <c r="G449"/>
      <c r="J449"/>
      <c r="K449"/>
      <c r="L449"/>
      <c r="M449"/>
      <c r="N449"/>
      <c r="O449"/>
      <c r="P449"/>
      <c r="Q449"/>
      <c r="R449"/>
      <c r="S449"/>
    </row>
    <row r="450" spans="1:19" hidden="1" x14ac:dyDescent="0.25">
      <c r="A450" s="3"/>
      <c r="B450" s="3"/>
      <c r="C450" s="132"/>
      <c r="D450" s="2"/>
      <c r="E450" s="35"/>
      <c r="F450" s="97"/>
    </row>
    <row r="451" spans="1:19" ht="30" hidden="1" x14ac:dyDescent="0.25">
      <c r="A451" s="3">
        <v>4</v>
      </c>
      <c r="B451" s="3">
        <v>5</v>
      </c>
      <c r="C451" s="132" t="s">
        <v>98</v>
      </c>
      <c r="D451" s="2" t="s">
        <v>372</v>
      </c>
      <c r="E451" s="35">
        <f>E452</f>
        <v>0</v>
      </c>
      <c r="F451" s="97"/>
    </row>
    <row r="452" spans="1:19" hidden="1" x14ac:dyDescent="0.25">
      <c r="A452" s="3"/>
      <c r="B452" s="3"/>
      <c r="C452" s="132"/>
      <c r="D452" s="2"/>
      <c r="E452" s="35"/>
      <c r="F452" s="97"/>
    </row>
    <row r="453" spans="1:19" hidden="1" x14ac:dyDescent="0.25">
      <c r="A453" s="125">
        <v>4</v>
      </c>
      <c r="B453" s="125">
        <v>6</v>
      </c>
      <c r="C453" s="125"/>
      <c r="D453" s="16" t="s">
        <v>373</v>
      </c>
      <c r="E453" s="126">
        <f>E454</f>
        <v>0</v>
      </c>
      <c r="F453" s="125" t="s">
        <v>3</v>
      </c>
    </row>
    <row r="454" spans="1:19" hidden="1" x14ac:dyDescent="0.25">
      <c r="A454" s="3">
        <v>4</v>
      </c>
      <c r="B454" s="3">
        <v>6</v>
      </c>
      <c r="C454" s="132" t="s">
        <v>89</v>
      </c>
      <c r="D454" s="2" t="s">
        <v>374</v>
      </c>
      <c r="E454" s="109">
        <f>SUM(E455:E456)</f>
        <v>0</v>
      </c>
      <c r="F454" s="97"/>
    </row>
    <row r="455" spans="1:19" hidden="1" x14ac:dyDescent="0.25">
      <c r="A455" s="5"/>
      <c r="B455" s="5"/>
      <c r="C455" s="46"/>
      <c r="D455" s="12"/>
      <c r="E455" s="75"/>
      <c r="F455" s="46"/>
    </row>
    <row r="456" spans="1:19" hidden="1" x14ac:dyDescent="0.25">
      <c r="A456" s="5"/>
      <c r="B456" s="5"/>
      <c r="C456" s="47"/>
      <c r="D456" s="71"/>
      <c r="E456" s="50"/>
      <c r="F456" s="42"/>
    </row>
    <row r="457" spans="1:19" hidden="1" x14ac:dyDescent="0.25">
      <c r="A457" s="125">
        <v>4</v>
      </c>
      <c r="B457" s="125">
        <v>7</v>
      </c>
      <c r="C457" s="125"/>
      <c r="D457" s="16" t="s">
        <v>375</v>
      </c>
      <c r="E457" s="126">
        <f>E458+E461</f>
        <v>0</v>
      </c>
      <c r="F457" s="125"/>
    </row>
    <row r="458" spans="1:19" ht="30" hidden="1" x14ac:dyDescent="0.25">
      <c r="A458" s="3">
        <v>4</v>
      </c>
      <c r="B458" s="3">
        <v>7</v>
      </c>
      <c r="C458" s="34" t="s">
        <v>89</v>
      </c>
      <c r="D458" s="2" t="s">
        <v>376</v>
      </c>
      <c r="E458" s="35">
        <f>SUM(E459:E460)</f>
        <v>0</v>
      </c>
      <c r="F458" s="3" t="s">
        <v>3</v>
      </c>
    </row>
    <row r="459" spans="1:19" hidden="1" x14ac:dyDescent="0.25">
      <c r="A459" s="46"/>
      <c r="B459" s="46"/>
      <c r="C459" s="46"/>
      <c r="D459" s="71" t="s">
        <v>565</v>
      </c>
      <c r="E459" s="51">
        <v>0</v>
      </c>
      <c r="F459" s="42" t="s">
        <v>3</v>
      </c>
    </row>
    <row r="460" spans="1:19" hidden="1" x14ac:dyDescent="0.25">
      <c r="A460" s="46"/>
      <c r="B460" s="46"/>
      <c r="C460" s="46"/>
      <c r="D460" s="71"/>
      <c r="E460" s="50"/>
      <c r="F460" s="42"/>
    </row>
    <row r="461" spans="1:19" ht="30" hidden="1" x14ac:dyDescent="0.25">
      <c r="A461" s="3">
        <v>4</v>
      </c>
      <c r="B461" s="3">
        <v>7</v>
      </c>
      <c r="C461" s="34" t="s">
        <v>109</v>
      </c>
      <c r="D461" s="2" t="s">
        <v>378</v>
      </c>
      <c r="E461" s="35">
        <f>SUM(E462:E463)</f>
        <v>0</v>
      </c>
      <c r="F461" s="3" t="s">
        <v>3</v>
      </c>
    </row>
    <row r="462" spans="1:19" hidden="1" x14ac:dyDescent="0.25">
      <c r="A462" s="46"/>
      <c r="B462" s="46"/>
      <c r="C462" s="46"/>
      <c r="D462" s="71" t="s">
        <v>379</v>
      </c>
      <c r="E462" s="50">
        <v>0</v>
      </c>
      <c r="F462" s="42"/>
    </row>
    <row r="463" spans="1:19" hidden="1" x14ac:dyDescent="0.25">
      <c r="A463" s="46"/>
      <c r="B463" s="46"/>
      <c r="C463" s="46"/>
      <c r="D463" s="71"/>
      <c r="E463" s="50"/>
      <c r="F463" s="42"/>
    </row>
    <row r="464" spans="1:19" ht="27" x14ac:dyDescent="0.25">
      <c r="A464" s="141">
        <v>5</v>
      </c>
      <c r="B464" s="141"/>
      <c r="C464" s="141"/>
      <c r="D464" s="18" t="s">
        <v>75</v>
      </c>
      <c r="E464" s="142">
        <f>E465+E468+E470</f>
        <v>5172860.9000000004</v>
      </c>
      <c r="F464" s="141"/>
    </row>
    <row r="465" spans="1:10" x14ac:dyDescent="0.25">
      <c r="A465" s="19">
        <v>5</v>
      </c>
      <c r="B465" s="19">
        <v>1</v>
      </c>
      <c r="C465" s="19"/>
      <c r="D465" s="19" t="s">
        <v>76</v>
      </c>
      <c r="E465" s="143">
        <f>E466+E467</f>
        <v>2672860.9</v>
      </c>
      <c r="F465" s="19"/>
    </row>
    <row r="466" spans="1:10" x14ac:dyDescent="0.25">
      <c r="A466" s="46">
        <v>5</v>
      </c>
      <c r="B466" s="46">
        <v>1</v>
      </c>
      <c r="C466" s="47" t="s">
        <v>380</v>
      </c>
      <c r="D466" s="46" t="s">
        <v>381</v>
      </c>
      <c r="E466" s="75">
        <v>2210904.9</v>
      </c>
      <c r="F466" s="366" t="s">
        <v>675</v>
      </c>
      <c r="G466" t="s">
        <v>3</v>
      </c>
    </row>
    <row r="467" spans="1:10" x14ac:dyDescent="0.25">
      <c r="A467" s="46"/>
      <c r="B467" s="46"/>
      <c r="C467" s="47"/>
      <c r="D467" s="46" t="s">
        <v>381</v>
      </c>
      <c r="E467" s="75">
        <v>461956</v>
      </c>
      <c r="F467" s="373" t="s">
        <v>429</v>
      </c>
    </row>
    <row r="468" spans="1:10" x14ac:dyDescent="0.25">
      <c r="A468" s="19">
        <v>5</v>
      </c>
      <c r="B468" s="19">
        <v>2</v>
      </c>
      <c r="C468" s="19"/>
      <c r="D468" s="19" t="s">
        <v>77</v>
      </c>
      <c r="E468" s="143">
        <f>E469</f>
        <v>2500000</v>
      </c>
      <c r="F468" s="19"/>
      <c r="G468" t="s">
        <v>3</v>
      </c>
    </row>
    <row r="469" spans="1:10" x14ac:dyDescent="0.25">
      <c r="A469" s="46">
        <v>5</v>
      </c>
      <c r="B469" s="46">
        <v>2</v>
      </c>
      <c r="C469" s="47" t="s">
        <v>380</v>
      </c>
      <c r="D469" s="46" t="s">
        <v>382</v>
      </c>
      <c r="E469" s="75">
        <v>2500000</v>
      </c>
      <c r="F469" s="366" t="s">
        <v>675</v>
      </c>
      <c r="H469" s="343">
        <f>M5*10%</f>
        <v>86335400</v>
      </c>
      <c r="I469" s="164">
        <f>H469/3600000</f>
        <v>23.982055555555554</v>
      </c>
    </row>
    <row r="470" spans="1:10" hidden="1" x14ac:dyDescent="0.25">
      <c r="A470" s="19">
        <v>5</v>
      </c>
      <c r="B470" s="19">
        <v>3</v>
      </c>
      <c r="C470" s="19"/>
      <c r="D470" s="19" t="s">
        <v>78</v>
      </c>
      <c r="E470" s="143">
        <f>E471</f>
        <v>0</v>
      </c>
      <c r="F470" s="19"/>
      <c r="H470" s="343">
        <f>3600000*30</f>
        <v>108000000</v>
      </c>
      <c r="I470" s="164">
        <f>10*3600000</f>
        <v>36000000</v>
      </c>
      <c r="J470" s="173">
        <f>I470/M5*100</f>
        <v>4.1697843526525622</v>
      </c>
    </row>
    <row r="471" spans="1:10" hidden="1" x14ac:dyDescent="0.25">
      <c r="A471" s="46">
        <v>5</v>
      </c>
      <c r="B471" s="46">
        <v>3</v>
      </c>
      <c r="C471" s="47" t="s">
        <v>380</v>
      </c>
      <c r="D471" s="46" t="s">
        <v>383</v>
      </c>
      <c r="E471" s="75">
        <f>SUM(E472:E472)</f>
        <v>0</v>
      </c>
      <c r="F471" s="46" t="s">
        <v>3</v>
      </c>
      <c r="H471" s="164">
        <f>E472/M5*100</f>
        <v>0</v>
      </c>
      <c r="I471" s="164" t="s">
        <v>397</v>
      </c>
    </row>
    <row r="472" spans="1:10" hidden="1" x14ac:dyDescent="0.25">
      <c r="A472" s="46"/>
      <c r="B472" s="46"/>
      <c r="C472" s="47"/>
      <c r="D472" s="55" t="s">
        <v>669</v>
      </c>
      <c r="E472" s="323"/>
      <c r="F472" s="42"/>
      <c r="H472" s="164">
        <f>E472/3600000</f>
        <v>0</v>
      </c>
      <c r="I472" s="164" t="s">
        <v>420</v>
      </c>
    </row>
    <row r="473" spans="1:10" hidden="1" x14ac:dyDescent="0.25">
      <c r="A473" s="144"/>
      <c r="B473" s="144"/>
      <c r="C473" s="144"/>
      <c r="D473" s="144" t="s">
        <v>385</v>
      </c>
      <c r="E473" s="145">
        <f>E474</f>
        <v>0</v>
      </c>
      <c r="F473" s="144"/>
    </row>
    <row r="474" spans="1:10" hidden="1" x14ac:dyDescent="0.25">
      <c r="A474" s="46"/>
      <c r="B474" s="46"/>
      <c r="C474" s="46"/>
      <c r="D474" s="46" t="s">
        <v>386</v>
      </c>
      <c r="E474" s="146">
        <v>0</v>
      </c>
      <c r="F474" s="46" t="s">
        <v>3</v>
      </c>
      <c r="H474" s="164">
        <f>30*12</f>
        <v>360</v>
      </c>
    </row>
    <row r="477" spans="1:10" x14ac:dyDescent="0.25">
      <c r="D477" s="192" t="s">
        <v>392</v>
      </c>
      <c r="E477" s="191">
        <f>E4+E160+E356+E414+E464</f>
        <v>231785614.35000002</v>
      </c>
    </row>
    <row r="478" spans="1:10" x14ac:dyDescent="0.25">
      <c r="D478" s="192" t="s">
        <v>422</v>
      </c>
      <c r="E478" s="191">
        <f>E477+E473</f>
        <v>231785614.35000002</v>
      </c>
    </row>
  </sheetData>
  <mergeCells count="4">
    <mergeCell ref="A1:F2"/>
    <mergeCell ref="A3:C3"/>
    <mergeCell ref="J17:K17"/>
    <mergeCell ref="I20:P20"/>
  </mergeCells>
  <pageMargins left="0.70866141732283472" right="0.70866141732283472" top="0.74803149606299213" bottom="1.7322834645669292" header="0.31496062992125984" footer="0.31496062992125984"/>
  <pageSetup paperSize="5" scale="8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Sheet1</vt:lpstr>
      <vt:lpstr>APBDesa Perub Reguler</vt:lpstr>
      <vt:lpstr>Perub Penj APBDesa </vt:lpstr>
      <vt:lpstr>APBDesa Perub PAGU n SiLPA Fix </vt:lpstr>
      <vt:lpstr>UNTUK APBDesa Perubahan PAGU</vt:lpstr>
      <vt:lpstr>UNTUK APBDesa Induk Pagu Defini</vt:lpstr>
      <vt:lpstr>UNTUK APBDesa</vt:lpstr>
      <vt:lpstr>APBDESA 2024 PERUB</vt:lpstr>
      <vt:lpstr>RINCIAN PBH</vt:lpstr>
      <vt:lpstr>APBDESA 2024 PERUB PENJ</vt:lpstr>
      <vt:lpstr>UNTUK APBDESA 2024</vt:lpstr>
      <vt:lpstr>UNTUK RKP PRINT</vt:lpstr>
      <vt:lpstr>UNTUK RKP</vt:lpstr>
      <vt:lpstr>PAGU</vt:lpstr>
      <vt:lpstr>BIDANG KES 2024</vt:lpstr>
      <vt:lpstr>RINCIAN PRIORITAS DD 2024 PRB2</vt:lpstr>
      <vt:lpstr>RINCIAN PRIORITAS DD 2024 PRBH</vt:lpstr>
      <vt:lpstr>LAP RINCIAN DD 2024 YANG DITENT</vt:lpstr>
      <vt:lpstr>RINCIAN PRIORITAS DD 2024</vt:lpstr>
      <vt:lpstr>'APBDESA 2024 PERUB'!Print_Area</vt:lpstr>
      <vt:lpstr>'APBDESA 2024 PERUB PENJ'!Print_Area</vt:lpstr>
      <vt:lpstr>'RINCIAN PBH'!Print_Area</vt:lpstr>
      <vt:lpstr>'RINCIAN PRIORITAS DD 2024'!Print_Area</vt:lpstr>
      <vt:lpstr>'RINCIAN PRIORITAS DD 2024 PRB2'!Print_Area</vt:lpstr>
      <vt:lpstr>'RINCIAN PRIORITAS DD 2024 PRBH'!Print_Area</vt:lpstr>
      <vt:lpstr>'UNTUK APBDESA 2024'!Print_Area</vt:lpstr>
      <vt:lpstr>'UNTUK RKP'!Print_Area</vt:lpstr>
      <vt:lpstr>'UNTUK RKP PRINT'!Print_Area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11</dc:creator>
  <cp:lastModifiedBy>IPACUNG</cp:lastModifiedBy>
  <cp:lastPrinted>2024-05-20T07:15:32Z</cp:lastPrinted>
  <dcterms:created xsi:type="dcterms:W3CDTF">2022-07-18T01:07:02Z</dcterms:created>
  <dcterms:modified xsi:type="dcterms:W3CDTF">2024-08-05T12:15:59Z</dcterms:modified>
</cp:coreProperties>
</file>